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435" activeTab="2"/>
  </bookViews>
  <sheets>
    <sheet name="مرداد" sheetId="4" r:id="rId1"/>
    <sheet name="واريز مرحله اول" sheetId="5" r:id="rId2"/>
    <sheet name="Sheet1" sheetId="9" r:id="rId3"/>
  </sheets>
  <definedNames>
    <definedName name="_xlnm._FilterDatabase" localSheetId="0" hidden="1">مرداد!$A$3:$AN$24</definedName>
    <definedName name="_xlnm._FilterDatabase" localSheetId="1" hidden="1">'واريز مرحله اول'!$A$6:$H$28</definedName>
    <definedName name="_xlnm.Print_Area" localSheetId="0">مرداد!$A$2:$AN$25</definedName>
    <definedName name="_xlnm.Print_Area" localSheetId="1">'واريز مرحله اول'!$A$1:$H$33</definedName>
  </definedNames>
  <calcPr calcId="152511"/>
</workbook>
</file>

<file path=xl/calcChain.xml><?xml version="1.0" encoding="utf-8"?>
<calcChain xmlns="http://schemas.openxmlformats.org/spreadsheetml/2006/main">
  <c r="G10" i="9" l="1"/>
  <c r="G9" i="9"/>
  <c r="G8" i="9"/>
  <c r="G7" i="9"/>
  <c r="G6" i="9"/>
  <c r="G5" i="9"/>
  <c r="G4" i="9"/>
  <c r="I8" i="9"/>
  <c r="I7" i="9"/>
  <c r="I6" i="9"/>
  <c r="I5" i="9"/>
  <c r="I4" i="9"/>
  <c r="I18" i="9"/>
  <c r="G7" i="5"/>
  <c r="G8" i="5"/>
  <c r="G9" i="5"/>
  <c r="G10" i="5"/>
  <c r="G11" i="5"/>
  <c r="I2" i="9"/>
  <c r="B8" i="9" l="1"/>
  <c r="D6" i="9"/>
  <c r="D5" i="9"/>
  <c r="E12" i="9"/>
  <c r="E11" i="9"/>
  <c r="E10" i="9"/>
  <c r="E7" i="9"/>
  <c r="E5" i="9"/>
  <c r="E4" i="9"/>
  <c r="G15" i="9"/>
  <c r="I10" i="9"/>
  <c r="E9" i="9"/>
  <c r="C15" i="5"/>
  <c r="C23" i="5"/>
  <c r="AM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4" i="4"/>
  <c r="E28" i="5"/>
  <c r="G27" i="5"/>
  <c r="G23" i="5"/>
  <c r="G22" i="5"/>
  <c r="G21" i="5"/>
  <c r="G20" i="5"/>
  <c r="G13" i="5"/>
  <c r="G12" i="5"/>
  <c r="X8" i="4"/>
  <c r="X20" i="4"/>
  <c r="G25" i="4" l="1"/>
  <c r="H25" i="4"/>
  <c r="I25" i="4"/>
  <c r="J25" i="4"/>
  <c r="K25" i="4"/>
  <c r="L25" i="4"/>
  <c r="M25" i="4"/>
  <c r="N25" i="4"/>
  <c r="V25" i="4"/>
  <c r="W25" i="4"/>
  <c r="X25" i="4"/>
  <c r="Y25" i="4"/>
  <c r="Z25" i="4"/>
  <c r="AB25" i="4"/>
  <c r="AC25" i="4"/>
  <c r="AE25" i="4"/>
  <c r="AG25" i="4"/>
  <c r="AJ25" i="4"/>
  <c r="AK25" i="4"/>
  <c r="AM25" i="4"/>
  <c r="F25" i="4"/>
  <c r="O24" i="4"/>
  <c r="P24" i="4"/>
  <c r="Q24" i="4"/>
  <c r="R24" i="4"/>
  <c r="S24" i="4"/>
  <c r="U24" i="4"/>
  <c r="AD24" i="4"/>
  <c r="AI21" i="4"/>
  <c r="AD18" i="4"/>
  <c r="AD17" i="4"/>
  <c r="AD16" i="4"/>
  <c r="AD15" i="4"/>
  <c r="AD14" i="4"/>
  <c r="AD13" i="4"/>
  <c r="AD12" i="4"/>
  <c r="AD11" i="4"/>
  <c r="AD10" i="4"/>
  <c r="AD9" i="4"/>
  <c r="AD8" i="4"/>
  <c r="AA24" i="4" l="1"/>
  <c r="AD19" i="4"/>
  <c r="AD21" i="4"/>
  <c r="AD7" i="4"/>
  <c r="AI7" i="4"/>
  <c r="AI8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4" i="4"/>
  <c r="R5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AD23" i="4"/>
  <c r="AD22" i="4"/>
  <c r="AI23" i="4"/>
  <c r="AI22" i="4"/>
  <c r="AI20" i="4"/>
  <c r="AI19" i="4"/>
  <c r="AI18" i="4"/>
  <c r="AI17" i="4"/>
  <c r="AI16" i="4"/>
  <c r="Q7" i="4"/>
  <c r="P7" i="4"/>
  <c r="P8" i="4"/>
  <c r="P9" i="4"/>
  <c r="P10" i="4"/>
  <c r="P11" i="4"/>
  <c r="P12" i="4"/>
  <c r="P13" i="4"/>
  <c r="P14" i="4"/>
  <c r="P15" i="4"/>
  <c r="P16" i="4"/>
  <c r="AI13" i="4"/>
  <c r="AI12" i="4"/>
  <c r="AI10" i="4"/>
  <c r="AI9" i="4"/>
  <c r="Q8" i="4"/>
  <c r="S8" i="4"/>
  <c r="U8" i="4"/>
  <c r="Q9" i="4"/>
  <c r="S9" i="4"/>
  <c r="T9" i="4"/>
  <c r="U9" i="4"/>
  <c r="Q10" i="4"/>
  <c r="S10" i="4"/>
  <c r="T10" i="4"/>
  <c r="U10" i="4"/>
  <c r="Q11" i="4"/>
  <c r="S11" i="4"/>
  <c r="U11" i="4"/>
  <c r="Q12" i="4"/>
  <c r="U12" i="4"/>
  <c r="Q13" i="4"/>
  <c r="U13" i="4"/>
  <c r="AF13" i="4"/>
  <c r="Q14" i="4"/>
  <c r="U14" i="4"/>
  <c r="Q15" i="4"/>
  <c r="S15" i="4"/>
  <c r="U15" i="4"/>
  <c r="Q16" i="4"/>
  <c r="S16" i="4"/>
  <c r="T16" i="4"/>
  <c r="U16" i="4"/>
  <c r="P17" i="4"/>
  <c r="Q17" i="4"/>
  <c r="S17" i="4"/>
  <c r="T17" i="4"/>
  <c r="U17" i="4"/>
  <c r="P18" i="4"/>
  <c r="Q18" i="4"/>
  <c r="S18" i="4"/>
  <c r="U18" i="4"/>
  <c r="P19" i="4"/>
  <c r="Q19" i="4"/>
  <c r="S19" i="4"/>
  <c r="U19" i="4"/>
  <c r="P20" i="4"/>
  <c r="Q20" i="4"/>
  <c r="S20" i="4"/>
  <c r="U20" i="4"/>
  <c r="AD20" i="4"/>
  <c r="P21" i="4"/>
  <c r="Q21" i="4"/>
  <c r="S21" i="4"/>
  <c r="U21" i="4"/>
  <c r="P22" i="4"/>
  <c r="Q22" i="4"/>
  <c r="S22" i="4"/>
  <c r="U22" i="4"/>
  <c r="P23" i="4"/>
  <c r="Q23" i="4"/>
  <c r="S23" i="4"/>
  <c r="U23" i="4"/>
  <c r="O7" i="4"/>
  <c r="O25" i="4" s="1"/>
  <c r="AD5" i="4"/>
  <c r="AD6" i="4"/>
  <c r="AD4" i="4"/>
  <c r="E6" i="9" s="1"/>
  <c r="C29" i="5"/>
  <c r="B28" i="5"/>
  <c r="E22" i="4"/>
  <c r="G25" i="5" s="1"/>
  <c r="E23" i="4"/>
  <c r="G26" i="5" s="1"/>
  <c r="E21" i="4"/>
  <c r="G24" i="5" s="1"/>
  <c r="AF21" i="4" l="1"/>
  <c r="AH24" i="4"/>
  <c r="AL24" i="4" s="1"/>
  <c r="AD25" i="4"/>
  <c r="AA18" i="4"/>
  <c r="AH18" i="4" s="1"/>
  <c r="AF8" i="4"/>
  <c r="AA11" i="4"/>
  <c r="AH11" i="4" s="1"/>
  <c r="AA16" i="4"/>
  <c r="AF11" i="4"/>
  <c r="AF7" i="4"/>
  <c r="AI25" i="4"/>
  <c r="AA22" i="4"/>
  <c r="AH22" i="4" s="1"/>
  <c r="AF20" i="4"/>
  <c r="AA17" i="4"/>
  <c r="AH17" i="4" s="1"/>
  <c r="AF12" i="4"/>
  <c r="AF19" i="4"/>
  <c r="AF18" i="4"/>
  <c r="AF17" i="4"/>
  <c r="AL17" i="4" s="1"/>
  <c r="AA14" i="4"/>
  <c r="AH14" i="4" s="1"/>
  <c r="AA10" i="4"/>
  <c r="AF16" i="4"/>
  <c r="AA8" i="4"/>
  <c r="AH8" i="4" s="1"/>
  <c r="AA23" i="4"/>
  <c r="AH23" i="4" s="1"/>
  <c r="AA21" i="4"/>
  <c r="AH21" i="4" s="1"/>
  <c r="AL18" i="4"/>
  <c r="AL11" i="4"/>
  <c r="AN11" i="4" s="1"/>
  <c r="AL16" i="4"/>
  <c r="AN16" i="4" s="1"/>
  <c r="AA13" i="4"/>
  <c r="AA9" i="4"/>
  <c r="AL23" i="4"/>
  <c r="AN23" i="4" s="1"/>
  <c r="AA20" i="4"/>
  <c r="AH20" i="4" s="1"/>
  <c r="AA19" i="4"/>
  <c r="AH19" i="4" s="1"/>
  <c r="AF15" i="4"/>
  <c r="AA15" i="4" s="1"/>
  <c r="AF14" i="4"/>
  <c r="AA12" i="4"/>
  <c r="AH12" i="4" s="1"/>
  <c r="AF10" i="4"/>
  <c r="AL10" i="4" s="1"/>
  <c r="AF9" i="4"/>
  <c r="G19" i="5"/>
  <c r="E19" i="5" s="1"/>
  <c r="G18" i="5"/>
  <c r="G17" i="5"/>
  <c r="G16" i="5"/>
  <c r="G15" i="5"/>
  <c r="G14" i="5"/>
  <c r="E14" i="5" s="1"/>
  <c r="T6" i="4"/>
  <c r="T5" i="4"/>
  <c r="T4" i="4"/>
  <c r="D29" i="5"/>
  <c r="AN24" i="4" l="1"/>
  <c r="E27" i="5"/>
  <c r="B27" i="5" s="1"/>
  <c r="T25" i="4"/>
  <c r="E17" i="5"/>
  <c r="AN10" i="4"/>
  <c r="E13" i="5"/>
  <c r="AH13" i="4"/>
  <c r="AL13" i="4" s="1"/>
  <c r="AN17" i="4"/>
  <c r="E20" i="5"/>
  <c r="AN18" i="4"/>
  <c r="E21" i="5"/>
  <c r="E26" i="5"/>
  <c r="AL22" i="4"/>
  <c r="AL8" i="4"/>
  <c r="AL15" i="4"/>
  <c r="AN15" i="4" s="1"/>
  <c r="AL21" i="4"/>
  <c r="AL9" i="4"/>
  <c r="AL14" i="4"/>
  <c r="AN14" i="4" s="1"/>
  <c r="AL12" i="4"/>
  <c r="AN12" i="4" s="1"/>
  <c r="AL20" i="4"/>
  <c r="AL19" i="4"/>
  <c r="B26" i="5"/>
  <c r="AN13" i="4" l="1"/>
  <c r="E16" i="5"/>
  <c r="AN19" i="4"/>
  <c r="E22" i="5"/>
  <c r="AN9" i="4"/>
  <c r="E12" i="5"/>
  <c r="AN22" i="4"/>
  <c r="E25" i="5"/>
  <c r="B25" i="5" s="1"/>
  <c r="E18" i="5"/>
  <c r="AN20" i="4"/>
  <c r="E23" i="5"/>
  <c r="AN21" i="4"/>
  <c r="E24" i="5"/>
  <c r="AN8" i="4"/>
  <c r="E11" i="5"/>
  <c r="E15" i="5"/>
  <c r="P5" i="4"/>
  <c r="P6" i="4"/>
  <c r="P4" i="4"/>
  <c r="J31" i="5"/>
  <c r="P25" i="4" l="1"/>
  <c r="R6" i="4"/>
  <c r="R25" i="4" s="1"/>
  <c r="Q5" i="4"/>
  <c r="AF5" i="4" s="1"/>
  <c r="Q6" i="4"/>
  <c r="AF6" i="4" s="1"/>
  <c r="Q4" i="4"/>
  <c r="AF4" i="4" l="1"/>
  <c r="Q25" i="4"/>
  <c r="B12" i="5"/>
  <c r="AF25" i="4" l="1"/>
  <c r="E8" i="9"/>
  <c r="E16" i="9" s="1"/>
  <c r="B6" i="9" s="1"/>
  <c r="U7" i="4"/>
  <c r="S7" i="4"/>
  <c r="AA7" i="4" s="1"/>
  <c r="U6" i="4"/>
  <c r="S6" i="4"/>
  <c r="U5" i="4"/>
  <c r="S5" i="4"/>
  <c r="AH7" i="4" l="1"/>
  <c r="AH25" i="4" s="1"/>
  <c r="AA6" i="4"/>
  <c r="AL6" i="4" s="1"/>
  <c r="U4" i="4"/>
  <c r="S4" i="4"/>
  <c r="S25" i="4" s="1"/>
  <c r="AN6" i="4" l="1"/>
  <c r="E9" i="5"/>
  <c r="B9" i="5" s="1"/>
  <c r="U25" i="4"/>
  <c r="AA4" i="4"/>
  <c r="AA5" i="4"/>
  <c r="K6" i="9" l="1"/>
  <c r="L6" i="9" s="1"/>
  <c r="L7" i="9" s="1"/>
  <c r="G16" i="9"/>
  <c r="B5" i="9" s="1"/>
  <c r="B7" i="9" s="1"/>
  <c r="B16" i="9" s="1"/>
  <c r="AA25" i="4"/>
  <c r="AL5" i="4"/>
  <c r="AL4" i="4"/>
  <c r="E7" i="5" s="1"/>
  <c r="B7" i="5" s="1"/>
  <c r="AN5" i="4" l="1"/>
  <c r="E8" i="5"/>
  <c r="B8" i="5" s="1"/>
  <c r="AN4" i="4"/>
  <c r="B13" i="5"/>
  <c r="AL7" i="4"/>
  <c r="AL25" i="4" l="1"/>
  <c r="E10" i="5"/>
  <c r="B23" i="5"/>
  <c r="B20" i="5"/>
  <c r="B18" i="5"/>
  <c r="B17" i="5"/>
  <c r="B11" i="5"/>
  <c r="B15" i="5"/>
  <c r="B14" i="5"/>
  <c r="B19" i="5"/>
  <c r="AN7" i="4"/>
  <c r="AN25" i="4" s="1"/>
  <c r="B16" i="5"/>
  <c r="B10" i="5" l="1"/>
  <c r="B22" i="5"/>
  <c r="B21" i="5"/>
  <c r="B24" i="5"/>
  <c r="E29" i="5" l="1"/>
</calcChain>
</file>

<file path=xl/sharedStrings.xml><?xml version="1.0" encoding="utf-8"?>
<sst xmlns="http://schemas.openxmlformats.org/spreadsheetml/2006/main" count="176" uniqueCount="155">
  <si>
    <t>جمع کل</t>
  </si>
  <si>
    <t>خط توليد</t>
  </si>
  <si>
    <t>اميري نژاد</t>
  </si>
  <si>
    <t>قوامي كيا</t>
  </si>
  <si>
    <t>درگاهي</t>
  </si>
  <si>
    <t>قرباني</t>
  </si>
  <si>
    <t xml:space="preserve">حسن </t>
  </si>
  <si>
    <t>برزويي</t>
  </si>
  <si>
    <t xml:space="preserve">حامد </t>
  </si>
  <si>
    <t>واحد فروش</t>
  </si>
  <si>
    <t xml:space="preserve">فروزانفر </t>
  </si>
  <si>
    <t>اميد</t>
  </si>
  <si>
    <t>منشي</t>
  </si>
  <si>
    <t xml:space="preserve">ابراهيم زاده </t>
  </si>
  <si>
    <t xml:space="preserve">فرشته </t>
  </si>
  <si>
    <t>كارگر توليد</t>
  </si>
  <si>
    <t xml:space="preserve">رضا </t>
  </si>
  <si>
    <t>داغياني</t>
  </si>
  <si>
    <t xml:space="preserve">غلام زاده </t>
  </si>
  <si>
    <t xml:space="preserve">علي </t>
  </si>
  <si>
    <t>بازارياب</t>
  </si>
  <si>
    <t xml:space="preserve">محسني </t>
  </si>
  <si>
    <t xml:space="preserve">مريم </t>
  </si>
  <si>
    <t>حسابدار</t>
  </si>
  <si>
    <t>منبتي</t>
  </si>
  <si>
    <t xml:space="preserve">مجتبي </t>
  </si>
  <si>
    <t>مونتاژ کار</t>
  </si>
  <si>
    <t xml:space="preserve"> شمشیری</t>
  </si>
  <si>
    <t xml:space="preserve">مهدی </t>
  </si>
  <si>
    <t xml:space="preserve"> فروزانفر</t>
  </si>
  <si>
    <t xml:space="preserve">محسن </t>
  </si>
  <si>
    <t>جوشكار</t>
  </si>
  <si>
    <t xml:space="preserve"> نوروزیان</t>
  </si>
  <si>
    <t xml:space="preserve">روح الله </t>
  </si>
  <si>
    <t>مدیر مهندسی</t>
  </si>
  <si>
    <t xml:space="preserve">مدیر تولید </t>
  </si>
  <si>
    <t xml:space="preserve">وحید </t>
  </si>
  <si>
    <t xml:space="preserve">مدیر فروش </t>
  </si>
  <si>
    <t xml:space="preserve">سعید </t>
  </si>
  <si>
    <t>جمع خالص پرداختی</t>
  </si>
  <si>
    <t>مانده وام شرکت تاکنون</t>
  </si>
  <si>
    <t>اقساط  این ماه وام شرکت</t>
  </si>
  <si>
    <t xml:space="preserve">ماليات حقوق </t>
  </si>
  <si>
    <t>جریمه</t>
  </si>
  <si>
    <t>بيمه سهم كارگر</t>
  </si>
  <si>
    <t>مساعده</t>
  </si>
  <si>
    <t>کسر کار</t>
  </si>
  <si>
    <t>کسر از حقوق برای نهار</t>
  </si>
  <si>
    <t>بدهی حقوق از ماه قبل</t>
  </si>
  <si>
    <t>جمع کل پرداختی</t>
  </si>
  <si>
    <t>سنوات</t>
  </si>
  <si>
    <t>عیدی و پاداش</t>
  </si>
  <si>
    <t>طلب حقوق از ماه قبل</t>
  </si>
  <si>
    <t>حق ایاب و ذهاب</t>
  </si>
  <si>
    <t>تشویقی</t>
  </si>
  <si>
    <t>مبلغ اضافه كار</t>
  </si>
  <si>
    <t>سایر مزایای حقوقی</t>
  </si>
  <si>
    <t>حق ماموریت</t>
  </si>
  <si>
    <t>حق اولاد</t>
  </si>
  <si>
    <t>حق بن کارگری</t>
  </si>
  <si>
    <t>حق مسكن</t>
  </si>
  <si>
    <t>پايه حقوق روزانه</t>
  </si>
  <si>
    <t>تعداد فرزند</t>
  </si>
  <si>
    <t>ماموریت روزانه</t>
  </si>
  <si>
    <t>ساعات کسر کار</t>
  </si>
  <si>
    <t>مانده مرخصی تا پایان این ماه</t>
  </si>
  <si>
    <t>مرخصی استفاده شده این ماه</t>
  </si>
  <si>
    <t>ساعات اضافه كار</t>
  </si>
  <si>
    <t>روزهاي كاركرد</t>
  </si>
  <si>
    <t>سمت</t>
  </si>
  <si>
    <t>نام خانوادگي</t>
  </si>
  <si>
    <t>نام پرسنل</t>
  </si>
  <si>
    <t>رديف</t>
  </si>
  <si>
    <t>کسری یا اضافی</t>
  </si>
  <si>
    <t>حقوق واریزی</t>
  </si>
  <si>
    <t>خالص پرداختی</t>
  </si>
  <si>
    <t>کسورات</t>
  </si>
  <si>
    <t>پرداختی ها</t>
  </si>
  <si>
    <t>شيشه چي</t>
  </si>
  <si>
    <t>برق كار</t>
  </si>
  <si>
    <t xml:space="preserve">طي شناسه پيگيري </t>
  </si>
  <si>
    <t>مانده  حقوق</t>
  </si>
  <si>
    <t>ميلغ واريزي</t>
  </si>
  <si>
    <t>پرداختي طي علي الحساب</t>
  </si>
  <si>
    <t xml:space="preserve">مبلغ حقوق </t>
  </si>
  <si>
    <t xml:space="preserve">شماره حساب </t>
  </si>
  <si>
    <t xml:space="preserve">نام و نام خانوادگي </t>
  </si>
  <si>
    <t xml:space="preserve">رديف </t>
  </si>
  <si>
    <t>مجتبي منبتي</t>
  </si>
  <si>
    <t xml:space="preserve">علي غلام زاده </t>
  </si>
  <si>
    <t>سيد محسن داغياني</t>
  </si>
  <si>
    <t>داود قوامي كيا</t>
  </si>
  <si>
    <t>حامد برزويي</t>
  </si>
  <si>
    <t>حسن قرباني</t>
  </si>
  <si>
    <t>جلال درگاهي</t>
  </si>
  <si>
    <t xml:space="preserve">حميدرضا نسطورپور  </t>
  </si>
  <si>
    <t>محسن شيشه چي</t>
  </si>
  <si>
    <t>مرتضي اميري نژاد</t>
  </si>
  <si>
    <t>جمع كل</t>
  </si>
  <si>
    <t xml:space="preserve">مديريت </t>
  </si>
  <si>
    <t xml:space="preserve">امورمالي </t>
  </si>
  <si>
    <t xml:space="preserve">جلال </t>
  </si>
  <si>
    <t xml:space="preserve">داود </t>
  </si>
  <si>
    <t xml:space="preserve">مرتضي </t>
  </si>
  <si>
    <t>سعید  فروزانفر</t>
  </si>
  <si>
    <t>وحید  فروزانفر</t>
  </si>
  <si>
    <t>رضا  فروزانفر</t>
  </si>
  <si>
    <t>روح الله  نوروزیان</t>
  </si>
  <si>
    <t>مهدی  شمشیری</t>
  </si>
  <si>
    <t xml:space="preserve">مريم محسني </t>
  </si>
  <si>
    <t xml:space="preserve">فرشته ابراهيم زاده </t>
  </si>
  <si>
    <t xml:space="preserve">اميدفروزانفر </t>
  </si>
  <si>
    <t xml:space="preserve">سيد محسن </t>
  </si>
  <si>
    <t>ليت وجوه انتقالي اينترنتي حقوق پرسنل شركت تير    1394 علي الحساب</t>
  </si>
  <si>
    <t xml:space="preserve">مهراب </t>
  </si>
  <si>
    <t>صالحي</t>
  </si>
  <si>
    <t>انبار دار</t>
  </si>
  <si>
    <t>عباسي</t>
  </si>
  <si>
    <t>جعفري</t>
  </si>
  <si>
    <t xml:space="preserve">محرم </t>
  </si>
  <si>
    <t>حقوق ماهیانه</t>
  </si>
  <si>
    <t xml:space="preserve">غیبت </t>
  </si>
  <si>
    <t>غیبت به دقیقه</t>
  </si>
  <si>
    <t>اميرحسين فروزانفر</t>
  </si>
  <si>
    <t>نام و نام خاانوادگي</t>
  </si>
  <si>
    <t xml:space="preserve">           ليست حقوق كاركنان شرکت ابتکار توس در ماه مرداد 1394</t>
  </si>
  <si>
    <t>فيش حقوقي :</t>
  </si>
  <si>
    <t>فیش حقوقی</t>
  </si>
  <si>
    <t>اداری</t>
  </si>
  <si>
    <t>نام واحد   :</t>
  </si>
  <si>
    <t>شماره حساب :</t>
  </si>
  <si>
    <t>جهت اطلاع</t>
  </si>
  <si>
    <t>بدهی از ماه قبل</t>
  </si>
  <si>
    <t>حقوق پایه روزانه</t>
  </si>
  <si>
    <t>جمع قابل پرداخت  به ریال</t>
  </si>
  <si>
    <t>جمع كسورات به ریال</t>
  </si>
  <si>
    <t>جمع حقوق و مزايا به ریال</t>
  </si>
  <si>
    <t xml:space="preserve">روزهاي كاركرد </t>
  </si>
  <si>
    <t xml:space="preserve">غيبت به دقيقه </t>
  </si>
  <si>
    <t xml:space="preserve"> كسر كار به دقيقه </t>
  </si>
  <si>
    <t xml:space="preserve"> اضافه كار به دقيقه</t>
  </si>
  <si>
    <t>نا م و نام خانوادگي :</t>
  </si>
  <si>
    <t xml:space="preserve">حقوق ماهيانه </t>
  </si>
  <si>
    <t xml:space="preserve">حق مسكن </t>
  </si>
  <si>
    <t xml:space="preserve">حق بن </t>
  </si>
  <si>
    <t xml:space="preserve">حق اولاد </t>
  </si>
  <si>
    <t xml:space="preserve">اضافه كار </t>
  </si>
  <si>
    <t xml:space="preserve">ساير مزايا </t>
  </si>
  <si>
    <t xml:space="preserve">كسر كار </t>
  </si>
  <si>
    <t>ماليات حقوق</t>
  </si>
  <si>
    <t>غيبت</t>
  </si>
  <si>
    <t>كسر بابت اقساط وام</t>
  </si>
  <si>
    <t>ساير كسورات</t>
  </si>
  <si>
    <t xml:space="preserve">مانده </t>
  </si>
  <si>
    <t>مبلغ واريزي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</si>
</sst>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_-* #,##0.00\-;_-* &quot;-&quot;??_-;_-@_-"/>
    <numFmt numFmtId="164" formatCode="_-* #,##0_-;_-* #,##0\-;_-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8"/>
      <color theme="1"/>
      <name val="IranNastaliq"/>
      <family val="1"/>
    </font>
    <font>
      <sz val="20"/>
      <color theme="1"/>
      <name val="IranNastaliq"/>
      <family val="1"/>
    </font>
    <font>
      <sz val="11"/>
      <color theme="1"/>
      <name val="IranNastaliq"/>
      <family val="1"/>
    </font>
    <font>
      <sz val="12"/>
      <color theme="1"/>
      <name val="B Homa"/>
      <charset val="178"/>
    </font>
    <font>
      <sz val="10"/>
      <color theme="1"/>
      <name val="B Homa"/>
      <charset val="178"/>
    </font>
    <font>
      <sz val="14"/>
      <color theme="1"/>
      <name val="B Mitra"/>
      <charset val="178"/>
    </font>
    <font>
      <sz val="11"/>
      <color theme="1"/>
      <name val="B Mitra"/>
      <charset val="178"/>
    </font>
    <font>
      <sz val="11"/>
      <color theme="1"/>
      <name val="B Koodak"/>
      <charset val="178"/>
    </font>
    <font>
      <sz val="12"/>
      <color theme="1"/>
      <name val="IranNastaliq"/>
      <family val="1"/>
    </font>
    <font>
      <sz val="8"/>
      <name val="B Titr"/>
      <charset val="178"/>
    </font>
    <font>
      <sz val="12"/>
      <name val="B Titr"/>
      <charset val="178"/>
    </font>
    <font>
      <sz val="11"/>
      <name val="B Titr"/>
      <charset val="178"/>
    </font>
    <font>
      <sz val="12"/>
      <color theme="0"/>
      <name val="B Titr"/>
      <charset val="178"/>
    </font>
    <font>
      <b/>
      <sz val="10"/>
      <color indexed="8"/>
      <name val="B Koodak"/>
      <charset val="178"/>
    </font>
    <font>
      <b/>
      <sz val="18"/>
      <color indexed="8"/>
      <name val="B Jadid"/>
      <charset val="178"/>
    </font>
    <font>
      <b/>
      <sz val="12"/>
      <color indexed="8"/>
      <name val="B Koodak"/>
      <charset val="178"/>
    </font>
    <font>
      <b/>
      <sz val="10"/>
      <color indexed="8"/>
      <name val="2  Koodak"/>
      <charset val="178"/>
    </font>
    <font>
      <b/>
      <sz val="11"/>
      <color theme="1"/>
      <name val="B Koodak"/>
      <charset val="178"/>
    </font>
    <font>
      <b/>
      <sz val="8"/>
      <color rgb="FFFF0000"/>
      <name val="Terafik"/>
      <charset val="178"/>
    </font>
    <font>
      <sz val="10"/>
      <color indexed="8"/>
      <name val="B Koodak"/>
      <charset val="178"/>
    </font>
    <font>
      <b/>
      <sz val="8"/>
      <color indexed="8"/>
      <name val="Terafik"/>
      <charset val="178"/>
    </font>
    <font>
      <b/>
      <sz val="10"/>
      <color indexed="8"/>
      <name val="Terafik"/>
      <charset val="178"/>
    </font>
    <font>
      <sz val="10"/>
      <color theme="1"/>
      <name val="B Koodak"/>
      <charset val="178"/>
    </font>
    <font>
      <sz val="10"/>
      <color theme="1"/>
      <name val="2  Shiraz"/>
      <charset val="178"/>
    </font>
    <font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Grid">
        <bgColor theme="9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3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shrinkToFit="1"/>
    </xf>
    <xf numFmtId="3" fontId="6" fillId="0" borderId="12" xfId="0" applyNumberFormat="1" applyFont="1" applyBorder="1" applyAlignment="1">
      <alignment horizontal="center"/>
    </xf>
    <xf numFmtId="3" fontId="6" fillId="4" borderId="12" xfId="0" applyNumberFormat="1" applyFont="1" applyFill="1" applyBorder="1" applyAlignment="1">
      <alignment horizontal="center"/>
    </xf>
    <xf numFmtId="49" fontId="7" fillId="0" borderId="12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shrinkToFit="1"/>
    </xf>
    <xf numFmtId="3" fontId="6" fillId="0" borderId="15" xfId="0" applyNumberFormat="1" applyFont="1" applyBorder="1" applyAlignment="1">
      <alignment horizontal="center"/>
    </xf>
    <xf numFmtId="3" fontId="6" fillId="4" borderId="15" xfId="0" applyNumberFormat="1" applyFont="1" applyFill="1" applyBorder="1" applyAlignment="1">
      <alignment horizontal="center"/>
    </xf>
    <xf numFmtId="49" fontId="7" fillId="0" borderId="15" xfId="0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0" fillId="3" borderId="16" xfId="0" applyNumberFormat="1" applyFill="1" applyBorder="1" applyAlignment="1">
      <alignment horizontal="center" shrinkToFit="1"/>
    </xf>
    <xf numFmtId="3" fontId="6" fillId="3" borderId="17" xfId="0" applyNumberFormat="1" applyFont="1" applyFill="1" applyBorder="1" applyAlignment="1">
      <alignment horizontal="center"/>
    </xf>
    <xf numFmtId="164" fontId="10" fillId="0" borderId="0" xfId="2" applyNumberFormat="1" applyFont="1" applyAlignment="1"/>
    <xf numFmtId="164" fontId="10" fillId="0" borderId="0" xfId="2" applyNumberFormat="1" applyFont="1" applyAlignment="1">
      <alignment vertical="center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3" fontId="0" fillId="0" borderId="0" xfId="0" applyNumberFormat="1"/>
    <xf numFmtId="0" fontId="12" fillId="0" borderId="0" xfId="1" applyFont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3" fontId="13" fillId="2" borderId="1" xfId="1" applyNumberFormat="1" applyFont="1" applyFill="1" applyBorder="1" applyAlignment="1">
      <alignment horizontal="center" vertical="center" shrinkToFit="1"/>
    </xf>
    <xf numFmtId="3" fontId="13" fillId="0" borderId="1" xfId="1" applyNumberFormat="1" applyFont="1" applyFill="1" applyBorder="1" applyAlignment="1">
      <alignment horizontal="center" vertical="center" shrinkToFit="1"/>
    </xf>
    <xf numFmtId="0" fontId="13" fillId="0" borderId="0" xfId="1" applyFont="1" applyFill="1" applyAlignment="1">
      <alignment horizontal="center" vertical="center" shrinkToFit="1"/>
    </xf>
    <xf numFmtId="3" fontId="13" fillId="5" borderId="1" xfId="1" applyNumberFormat="1" applyFont="1" applyFill="1" applyBorder="1" applyAlignment="1">
      <alignment horizontal="center" vertical="center" shrinkToFit="1"/>
    </xf>
    <xf numFmtId="0" fontId="13" fillId="5" borderId="0" xfId="1" applyFont="1" applyFill="1" applyAlignment="1">
      <alignment horizontal="center" vertical="center" shrinkToFit="1"/>
    </xf>
    <xf numFmtId="4" fontId="13" fillId="6" borderId="1" xfId="1" applyNumberFormat="1" applyFont="1" applyFill="1" applyBorder="1" applyAlignment="1">
      <alignment horizontal="center" vertical="center" shrinkToFit="1"/>
    </xf>
    <xf numFmtId="3" fontId="13" fillId="6" borderId="1" xfId="1" applyNumberFormat="1" applyFont="1" applyFill="1" applyBorder="1" applyAlignment="1">
      <alignment horizontal="center" vertical="center" shrinkToFit="1"/>
    </xf>
    <xf numFmtId="0" fontId="12" fillId="6" borderId="0" xfId="1" applyFont="1" applyFill="1" applyAlignment="1">
      <alignment horizontal="center" vertical="center"/>
    </xf>
    <xf numFmtId="4" fontId="12" fillId="6" borderId="0" xfId="1" applyNumberFormat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 shrinkToFit="1"/>
    </xf>
    <xf numFmtId="3" fontId="13" fillId="6" borderId="6" xfId="1" applyNumberFormat="1" applyFont="1" applyFill="1" applyBorder="1" applyAlignment="1">
      <alignment horizontal="center" vertical="center" shrinkToFit="1"/>
    </xf>
    <xf numFmtId="4" fontId="13" fillId="6" borderId="6" xfId="1" applyNumberFormat="1" applyFont="1" applyFill="1" applyBorder="1" applyAlignment="1">
      <alignment horizontal="center" vertical="center" shrinkToFit="1"/>
    </xf>
    <xf numFmtId="3" fontId="13" fillId="2" borderId="6" xfId="1" applyNumberFormat="1" applyFont="1" applyFill="1" applyBorder="1" applyAlignment="1">
      <alignment horizontal="center" vertical="center" shrinkToFit="1"/>
    </xf>
    <xf numFmtId="3" fontId="13" fillId="0" borderId="6" xfId="1" applyNumberFormat="1" applyFont="1" applyFill="1" applyBorder="1" applyAlignment="1">
      <alignment horizontal="center" vertical="center" shrinkToFit="1"/>
    </xf>
    <xf numFmtId="0" fontId="15" fillId="7" borderId="18" xfId="1" applyFont="1" applyFill="1" applyBorder="1" applyAlignment="1">
      <alignment horizontal="center" vertical="center" shrinkToFit="1"/>
    </xf>
    <xf numFmtId="3" fontId="15" fillId="7" borderId="18" xfId="1" applyNumberFormat="1" applyFont="1" applyFill="1" applyBorder="1" applyAlignment="1">
      <alignment horizontal="center" vertical="center" shrinkToFit="1"/>
    </xf>
    <xf numFmtId="0" fontId="14" fillId="8" borderId="1" xfId="1" applyFont="1" applyFill="1" applyBorder="1" applyAlignment="1">
      <alignment horizontal="center" vertical="center"/>
    </xf>
    <xf numFmtId="0" fontId="14" fillId="8" borderId="5" xfId="1" applyFont="1" applyFill="1" applyBorder="1" applyAlignment="1">
      <alignment horizontal="center" vertical="center" textRotation="90" shrinkToFit="1"/>
    </xf>
    <xf numFmtId="0" fontId="14" fillId="8" borderId="5" xfId="1" applyFont="1" applyFill="1" applyBorder="1" applyAlignment="1">
      <alignment horizontal="center" vertical="center" shrinkToFit="1"/>
    </xf>
    <xf numFmtId="4" fontId="14" fillId="8" borderId="5" xfId="1" applyNumberFormat="1" applyFont="1" applyFill="1" applyBorder="1" applyAlignment="1">
      <alignment horizontal="center" vertical="center" textRotation="90" shrinkToFit="1"/>
    </xf>
    <xf numFmtId="3" fontId="13" fillId="9" borderId="1" xfId="1" applyNumberFormat="1" applyFont="1" applyFill="1" applyBorder="1" applyAlignment="1">
      <alignment horizontal="center" vertical="center" shrinkToFit="1"/>
    </xf>
    <xf numFmtId="3" fontId="13" fillId="9" borderId="6" xfId="1" applyNumberFormat="1" applyFont="1" applyFill="1" applyBorder="1" applyAlignment="1">
      <alignment horizontal="center" vertical="center" shrinkToFit="1"/>
    </xf>
    <xf numFmtId="3" fontId="13" fillId="10" borderId="1" xfId="1" applyNumberFormat="1" applyFont="1" applyFill="1" applyBorder="1" applyAlignment="1">
      <alignment horizontal="center" vertical="center" shrinkToFit="1"/>
    </xf>
    <xf numFmtId="0" fontId="13" fillId="3" borderId="1" xfId="1" applyFont="1" applyFill="1" applyBorder="1" applyAlignment="1">
      <alignment horizontal="center" vertical="center" shrinkToFit="1"/>
    </xf>
    <xf numFmtId="0" fontId="13" fillId="3" borderId="5" xfId="1" applyFont="1" applyFill="1" applyBorder="1" applyAlignment="1">
      <alignment horizontal="center" vertical="center" shrinkToFit="1"/>
    </xf>
    <xf numFmtId="0" fontId="13" fillId="3" borderId="19" xfId="1" applyFont="1" applyFill="1" applyBorder="1" applyAlignment="1">
      <alignment horizontal="center" vertical="center" shrinkToFit="1"/>
    </xf>
    <xf numFmtId="0" fontId="13" fillId="12" borderId="1" xfId="1" applyFont="1" applyFill="1" applyBorder="1" applyAlignment="1">
      <alignment horizontal="center" vertical="center" shrinkToFit="1"/>
    </xf>
    <xf numFmtId="3" fontId="13" fillId="12" borderId="1" xfId="1" applyNumberFormat="1" applyFont="1" applyFill="1" applyBorder="1" applyAlignment="1">
      <alignment horizontal="center" vertical="center" shrinkToFit="1"/>
    </xf>
    <xf numFmtId="3" fontId="6" fillId="11" borderId="15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3" fontId="23" fillId="16" borderId="0" xfId="0" applyNumberFormat="1" applyFont="1" applyFill="1" applyBorder="1" applyAlignment="1">
      <alignment horizontal="center"/>
    </xf>
    <xf numFmtId="3" fontId="16" fillId="16" borderId="0" xfId="0" applyNumberFormat="1" applyFont="1" applyFill="1" applyBorder="1" applyAlignment="1">
      <alignment horizontal="center"/>
    </xf>
    <xf numFmtId="3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3" fillId="16" borderId="0" xfId="0" applyFont="1" applyFill="1" applyBorder="1" applyAlignment="1">
      <alignment horizontal="center"/>
    </xf>
    <xf numFmtId="49" fontId="19" fillId="13" borderId="21" xfId="0" applyNumberFormat="1" applyFont="1" applyFill="1" applyBorder="1" applyAlignment="1">
      <alignment horizontal="center"/>
    </xf>
    <xf numFmtId="0" fontId="16" fillId="15" borderId="23" xfId="0" applyFont="1" applyFill="1" applyBorder="1" applyAlignment="1">
      <alignment horizontal="center"/>
    </xf>
    <xf numFmtId="3" fontId="22" fillId="16" borderId="24" xfId="0" applyNumberFormat="1" applyFont="1" applyFill="1" applyBorder="1" applyAlignment="1">
      <alignment horizontal="center"/>
    </xf>
    <xf numFmtId="3" fontId="23" fillId="16" borderId="25" xfId="0" applyNumberFormat="1" applyFont="1" applyFill="1" applyBorder="1" applyAlignment="1">
      <alignment horizontal="center"/>
    </xf>
    <xf numFmtId="3" fontId="22" fillId="7" borderId="24" xfId="0" applyNumberFormat="1" applyFont="1" applyFill="1" applyBorder="1" applyAlignment="1">
      <alignment horizontal="center"/>
    </xf>
    <xf numFmtId="0" fontId="23" fillId="16" borderId="25" xfId="0" applyFont="1" applyFill="1" applyBorder="1" applyAlignment="1">
      <alignment horizontal="center"/>
    </xf>
    <xf numFmtId="3" fontId="22" fillId="16" borderId="0" xfId="0" applyNumberFormat="1" applyFont="1" applyFill="1" applyBorder="1" applyAlignment="1">
      <alignment horizontal="center"/>
    </xf>
    <xf numFmtId="3" fontId="18" fillId="15" borderId="21" xfId="0" applyNumberFormat="1" applyFont="1" applyFill="1" applyBorder="1" applyAlignment="1">
      <alignment horizontal="center"/>
    </xf>
    <xf numFmtId="4" fontId="23" fillId="16" borderId="25" xfId="0" applyNumberFormat="1" applyFont="1" applyFill="1" applyBorder="1" applyAlignment="1">
      <alignment horizontal="center"/>
    </xf>
    <xf numFmtId="3" fontId="23" fillId="7" borderId="25" xfId="0" applyNumberFormat="1" applyFont="1" applyFill="1" applyBorder="1" applyAlignment="1">
      <alignment horizontal="center"/>
    </xf>
    <xf numFmtId="0" fontId="16" fillId="15" borderId="26" xfId="0" applyFont="1" applyFill="1" applyBorder="1" applyAlignment="1">
      <alignment horizontal="center"/>
    </xf>
    <xf numFmtId="0" fontId="22" fillId="0" borderId="20" xfId="0" applyFont="1" applyBorder="1" applyAlignment="1">
      <alignment horizontal="center"/>
    </xf>
    <xf numFmtId="3" fontId="23" fillId="16" borderId="20" xfId="0" applyNumberFormat="1" applyFont="1" applyFill="1" applyBorder="1" applyAlignment="1">
      <alignment horizontal="center"/>
    </xf>
    <xf numFmtId="3" fontId="23" fillId="0" borderId="20" xfId="0" applyNumberFormat="1" applyFont="1" applyBorder="1" applyAlignment="1">
      <alignment horizontal="center"/>
    </xf>
    <xf numFmtId="3" fontId="21" fillId="16" borderId="31" xfId="0" applyNumberFormat="1" applyFont="1" applyFill="1" applyBorder="1" applyAlignment="1">
      <alignment horizontal="center"/>
    </xf>
    <xf numFmtId="3" fontId="23" fillId="16" borderId="30" xfId="0" applyNumberFormat="1" applyFont="1" applyFill="1" applyBorder="1" applyAlignment="1">
      <alignment horizontal="center"/>
    </xf>
    <xf numFmtId="3" fontId="25" fillId="16" borderId="24" xfId="0" applyNumberFormat="1" applyFont="1" applyFill="1" applyBorder="1" applyAlignment="1">
      <alignment horizontal="center"/>
    </xf>
    <xf numFmtId="3" fontId="16" fillId="16" borderId="24" xfId="0" applyNumberFormat="1" applyFont="1" applyFill="1" applyBorder="1" applyAlignment="1">
      <alignment horizontal="center"/>
    </xf>
    <xf numFmtId="0" fontId="23" fillId="16" borderId="24" xfId="0" applyFont="1" applyFill="1" applyBorder="1" applyAlignment="1">
      <alignment horizontal="center"/>
    </xf>
    <xf numFmtId="3" fontId="21" fillId="16" borderId="0" xfId="0" applyNumberFormat="1" applyFont="1" applyFill="1" applyBorder="1" applyAlignment="1">
      <alignment horizontal="center"/>
    </xf>
    <xf numFmtId="0" fontId="16" fillId="13" borderId="27" xfId="0" applyFont="1" applyFill="1" applyBorder="1" applyAlignment="1">
      <alignment horizontal="center"/>
    </xf>
    <xf numFmtId="0" fontId="16" fillId="13" borderId="23" xfId="0" applyFont="1" applyFill="1" applyBorder="1" applyAlignment="1">
      <alignment horizontal="center"/>
    </xf>
    <xf numFmtId="0" fontId="16" fillId="13" borderId="26" xfId="0" applyFont="1" applyFill="1" applyBorder="1" applyAlignment="1">
      <alignment horizontal="center"/>
    </xf>
    <xf numFmtId="49" fontId="26" fillId="15" borderId="27" xfId="0" applyNumberFormat="1" applyFont="1" applyFill="1" applyBorder="1" applyAlignment="1">
      <alignment horizontal="center" vertical="center"/>
    </xf>
    <xf numFmtId="0" fontId="16" fillId="0" borderId="24" xfId="0" applyFont="1" applyBorder="1" applyAlignment="1"/>
    <xf numFmtId="0" fontId="23" fillId="16" borderId="27" xfId="0" applyFont="1" applyFill="1" applyBorder="1" applyAlignment="1">
      <alignment horizontal="center"/>
    </xf>
    <xf numFmtId="0" fontId="23" fillId="16" borderId="31" xfId="0" applyFont="1" applyFill="1" applyBorder="1" applyAlignment="1">
      <alignment horizontal="center"/>
    </xf>
    <xf numFmtId="0" fontId="23" fillId="16" borderId="26" xfId="0" applyFont="1" applyFill="1" applyBorder="1" applyAlignment="1">
      <alignment horizontal="center"/>
    </xf>
    <xf numFmtId="0" fontId="14" fillId="8" borderId="6" xfId="1" applyFont="1" applyFill="1" applyBorder="1" applyAlignment="1">
      <alignment horizontal="center" vertical="center"/>
    </xf>
    <xf numFmtId="0" fontId="14" fillId="8" borderId="5" xfId="1" applyFont="1" applyFill="1" applyBorder="1" applyAlignment="1">
      <alignment horizontal="center" vertical="center"/>
    </xf>
    <xf numFmtId="0" fontId="15" fillId="7" borderId="18" xfId="1" applyFont="1" applyFill="1" applyBorder="1" applyAlignment="1">
      <alignment horizontal="center" vertical="center" shrinkToFit="1"/>
    </xf>
    <xf numFmtId="0" fontId="14" fillId="8" borderId="4" xfId="1" applyFont="1" applyFill="1" applyBorder="1" applyAlignment="1">
      <alignment horizontal="center" vertical="center" shrinkToFit="1"/>
    </xf>
    <xf numFmtId="0" fontId="14" fillId="8" borderId="3" xfId="1" applyFont="1" applyFill="1" applyBorder="1" applyAlignment="1">
      <alignment horizontal="center" vertical="center" shrinkToFit="1"/>
    </xf>
    <xf numFmtId="0" fontId="14" fillId="8" borderId="2" xfId="1" applyFont="1" applyFill="1" applyBorder="1" applyAlignment="1">
      <alignment horizontal="center" vertical="center" shrinkToFit="1"/>
    </xf>
    <xf numFmtId="0" fontId="14" fillId="8" borderId="4" xfId="1" applyFont="1" applyFill="1" applyBorder="1" applyAlignment="1">
      <alignment horizontal="center" vertical="center"/>
    </xf>
    <xf numFmtId="0" fontId="14" fillId="8" borderId="3" xfId="1" applyFont="1" applyFill="1" applyBorder="1" applyAlignment="1">
      <alignment horizontal="center" vertical="center"/>
    </xf>
    <xf numFmtId="0" fontId="14" fillId="8" borderId="2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/>
    </xf>
    <xf numFmtId="0" fontId="17" fillId="14" borderId="23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0" fontId="17" fillId="14" borderId="26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4" fontId="23" fillId="16" borderId="25" xfId="0" applyNumberFormat="1" applyFont="1" applyFill="1" applyBorder="1" applyAlignment="1">
      <alignment horizontal="center"/>
    </xf>
    <xf numFmtId="4" fontId="23" fillId="16" borderId="24" xfId="0" applyNumberFormat="1" applyFont="1" applyFill="1" applyBorder="1" applyAlignment="1">
      <alignment horizontal="center"/>
    </xf>
    <xf numFmtId="4" fontId="23" fillId="16" borderId="27" xfId="0" applyNumberFormat="1" applyFont="1" applyFill="1" applyBorder="1" applyAlignment="1">
      <alignment horizontal="center"/>
    </xf>
    <xf numFmtId="4" fontId="23" fillId="16" borderId="26" xfId="0" applyNumberFormat="1" applyFont="1" applyFill="1" applyBorder="1" applyAlignment="1">
      <alignment horizontal="center"/>
    </xf>
    <xf numFmtId="3" fontId="16" fillId="0" borderId="21" xfId="0" applyNumberFormat="1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4" fontId="23" fillId="5" borderId="25" xfId="0" applyNumberFormat="1" applyFont="1" applyFill="1" applyBorder="1" applyAlignment="1">
      <alignment horizontal="center"/>
    </xf>
    <xf numFmtId="3" fontId="23" fillId="5" borderId="0" xfId="0" applyNumberFormat="1" applyFont="1" applyFill="1" applyBorder="1" applyAlignment="1">
      <alignment horizontal="center"/>
    </xf>
    <xf numFmtId="0" fontId="0" fillId="5" borderId="0" xfId="0" applyFill="1"/>
    <xf numFmtId="0" fontId="27" fillId="5" borderId="0" xfId="0" applyFont="1" applyFill="1"/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794020</xdr:colOff>
      <xdr:row>0</xdr:row>
      <xdr:rowOff>0</xdr:rowOff>
    </xdr:from>
    <xdr:to>
      <xdr:col>7</xdr:col>
      <xdr:colOff>81933</xdr:colOff>
      <xdr:row>1</xdr:row>
      <xdr:rowOff>266700</xdr:rowOff>
    </xdr:to>
    <xdr:pic>
      <xdr:nvPicPr>
        <xdr:cNvPr id="2" name="Picture 1" descr="logo-2x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61270" y="0"/>
          <a:ext cx="1612013" cy="638175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0</xdr:row>
      <xdr:rowOff>38100</xdr:rowOff>
    </xdr:from>
    <xdr:to>
      <xdr:col>1</xdr:col>
      <xdr:colOff>695325</xdr:colOff>
      <xdr:row>2</xdr:row>
      <xdr:rowOff>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7150" y="38100"/>
          <a:ext cx="1419225" cy="7048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r" rtl="1">
            <a:defRPr sz="1000"/>
          </a:pPr>
          <a:r>
            <a:rPr lang="fa-IR" sz="1300" b="0" i="0" u="none" strike="noStrike" baseline="0">
              <a:solidFill>
                <a:srgbClr val="000000"/>
              </a:solidFill>
              <a:cs typeface="B Mitra"/>
            </a:rPr>
            <a:t>   تاريخ :     /      /</a:t>
          </a:r>
        </a:p>
        <a:p>
          <a:pPr algn="r" rtl="1">
            <a:defRPr sz="1000"/>
          </a:pPr>
          <a:r>
            <a:rPr lang="fa-IR" sz="1300" b="0" i="0" u="none" strike="noStrike" baseline="0">
              <a:solidFill>
                <a:srgbClr val="000000"/>
              </a:solidFill>
              <a:cs typeface="B Mitra"/>
            </a:rPr>
            <a:t>  شماره :   </a:t>
          </a:r>
          <a:r>
            <a:rPr lang="fa-IR" sz="1300" b="0" i="0" u="none" strike="noStrike" baseline="0">
              <a:solidFill>
                <a:srgbClr val="BFBFBF"/>
              </a:solidFill>
              <a:cs typeface="B Mitra"/>
            </a:rPr>
            <a:t>.....................</a:t>
          </a:r>
          <a:endParaRPr lang="fa-IR" sz="1300" b="0" i="0" u="none" strike="noStrike" baseline="0">
            <a:solidFill>
              <a:srgbClr val="000000"/>
            </a:solidFill>
            <a:cs typeface="B Mitra"/>
          </a:endParaRPr>
        </a:p>
        <a:p>
          <a:pPr algn="r" rtl="1">
            <a:defRPr sz="1000"/>
          </a:pPr>
          <a:endParaRPr lang="fa-IR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r" rtl="1">
            <a:defRPr sz="1000"/>
          </a:pPr>
          <a:endParaRPr lang="fa-IR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N25"/>
  <sheetViews>
    <sheetView rightToLeft="1" view="pageBreakPreview" zoomScale="85" zoomScaleSheetLayoutView="85" workbookViewId="0">
      <pane ySplit="3" topLeftCell="A10" activePane="bottomLeft" state="frozen"/>
      <selection pane="bottomLeft" activeCell="T4" sqref="T4"/>
    </sheetView>
  </sheetViews>
  <sheetFormatPr defaultColWidth="9" defaultRowHeight="18"/>
  <cols>
    <col min="1" max="1" width="3.5703125" style="27" customWidth="1"/>
    <col min="2" max="2" width="9.85546875" style="27" hidden="1" customWidth="1"/>
    <col min="3" max="3" width="8.85546875" style="27" hidden="1" customWidth="1"/>
    <col min="4" max="4" width="9.28515625" style="27" hidden="1" customWidth="1"/>
    <col min="5" max="5" width="16.140625" style="27" bestFit="1" customWidth="1"/>
    <col min="6" max="6" width="3.5703125" style="36" customWidth="1"/>
    <col min="7" max="7" width="4.140625" style="36" customWidth="1"/>
    <col min="8" max="9" width="5.28515625" style="36" hidden="1" customWidth="1"/>
    <col min="10" max="10" width="3.5703125" style="37" customWidth="1"/>
    <col min="11" max="11" width="3.5703125" style="36" hidden="1" customWidth="1"/>
    <col min="12" max="13" width="3.5703125" style="36" customWidth="1"/>
    <col min="14" max="16" width="8.28515625" style="27" bestFit="1" customWidth="1"/>
    <col min="17" max="17" width="8.85546875" style="27" bestFit="1" customWidth="1"/>
    <col min="18" max="18" width="8.28515625" style="27" bestFit="1" customWidth="1"/>
    <col min="19" max="19" width="8.5703125" style="27" hidden="1" customWidth="1"/>
    <col min="20" max="20" width="8.85546875" style="27" customWidth="1"/>
    <col min="21" max="21" width="8.28515625" style="27" bestFit="1" customWidth="1"/>
    <col min="22" max="22" width="7.85546875" style="27" hidden="1" customWidth="1"/>
    <col min="23" max="23" width="8.28515625" style="27" hidden="1" customWidth="1"/>
    <col min="24" max="24" width="8.85546875" style="27" customWidth="1"/>
    <col min="25" max="26" width="8.85546875" style="27" hidden="1" customWidth="1"/>
    <col min="27" max="27" width="9.7109375" style="27" bestFit="1" customWidth="1"/>
    <col min="28" max="30" width="8.5703125" style="27" customWidth="1"/>
    <col min="31" max="31" width="8.28515625" style="27" customWidth="1"/>
    <col min="32" max="32" width="8.85546875" style="27" bestFit="1" customWidth="1"/>
    <col min="33" max="33" width="8.85546875" style="27" hidden="1" customWidth="1"/>
    <col min="34" max="34" width="9.28515625" style="27" bestFit="1" customWidth="1"/>
    <col min="35" max="35" width="8.85546875" style="27" customWidth="1"/>
    <col min="36" max="37" width="8.5703125" style="27" customWidth="1"/>
    <col min="38" max="40" width="13.140625" style="27" customWidth="1"/>
    <col min="41" max="16384" width="9" style="27"/>
  </cols>
  <sheetData>
    <row r="1" spans="1:40" ht="9" customHeight="1" thickBot="1"/>
    <row r="2" spans="1:40" s="28" customFormat="1" ht="24" thickTop="1" thickBot="1">
      <c r="A2" s="96" t="s">
        <v>125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8"/>
      <c r="N2" s="99" t="s">
        <v>77</v>
      </c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1"/>
      <c r="AB2" s="99" t="s">
        <v>76</v>
      </c>
      <c r="AC2" s="100"/>
      <c r="AD2" s="100"/>
      <c r="AE2" s="100"/>
      <c r="AF2" s="100"/>
      <c r="AG2" s="100"/>
      <c r="AH2" s="100"/>
      <c r="AI2" s="100"/>
      <c r="AJ2" s="100"/>
      <c r="AK2" s="101"/>
      <c r="AL2" s="45" t="s">
        <v>75</v>
      </c>
      <c r="AM2" s="93" t="s">
        <v>74</v>
      </c>
      <c r="AN2" s="93" t="s">
        <v>73</v>
      </c>
    </row>
    <row r="3" spans="1:40" s="38" customFormat="1" ht="99" customHeight="1" thickTop="1" thickBot="1">
      <c r="A3" s="46" t="s">
        <v>72</v>
      </c>
      <c r="B3" s="47" t="s">
        <v>71</v>
      </c>
      <c r="C3" s="47" t="s">
        <v>70</v>
      </c>
      <c r="D3" s="47" t="s">
        <v>69</v>
      </c>
      <c r="E3" s="47" t="s">
        <v>124</v>
      </c>
      <c r="F3" s="46" t="s">
        <v>68</v>
      </c>
      <c r="G3" s="46" t="s">
        <v>67</v>
      </c>
      <c r="H3" s="46" t="s">
        <v>66</v>
      </c>
      <c r="I3" s="46" t="s">
        <v>65</v>
      </c>
      <c r="J3" s="48" t="s">
        <v>64</v>
      </c>
      <c r="K3" s="46" t="s">
        <v>63</v>
      </c>
      <c r="L3" s="46" t="s">
        <v>122</v>
      </c>
      <c r="M3" s="46" t="s">
        <v>62</v>
      </c>
      <c r="N3" s="46" t="s">
        <v>61</v>
      </c>
      <c r="O3" s="46" t="s">
        <v>120</v>
      </c>
      <c r="P3" s="46" t="s">
        <v>60</v>
      </c>
      <c r="Q3" s="46" t="s">
        <v>59</v>
      </c>
      <c r="R3" s="46" t="s">
        <v>58</v>
      </c>
      <c r="S3" s="46" t="s">
        <v>57</v>
      </c>
      <c r="T3" s="46" t="s">
        <v>56</v>
      </c>
      <c r="U3" s="46" t="s">
        <v>55</v>
      </c>
      <c r="V3" s="46" t="s">
        <v>54</v>
      </c>
      <c r="W3" s="46" t="s">
        <v>53</v>
      </c>
      <c r="X3" s="46" t="s">
        <v>52</v>
      </c>
      <c r="Y3" s="46" t="s">
        <v>51</v>
      </c>
      <c r="Z3" s="46" t="s">
        <v>50</v>
      </c>
      <c r="AA3" s="46" t="s">
        <v>49</v>
      </c>
      <c r="AB3" s="46" t="s">
        <v>48</v>
      </c>
      <c r="AC3" s="46" t="s">
        <v>47</v>
      </c>
      <c r="AD3" s="46" t="s">
        <v>46</v>
      </c>
      <c r="AE3" s="46" t="s">
        <v>45</v>
      </c>
      <c r="AF3" s="46" t="s">
        <v>44</v>
      </c>
      <c r="AG3" s="46" t="s">
        <v>43</v>
      </c>
      <c r="AH3" s="46" t="s">
        <v>42</v>
      </c>
      <c r="AI3" s="46" t="s">
        <v>121</v>
      </c>
      <c r="AJ3" s="46" t="s">
        <v>41</v>
      </c>
      <c r="AK3" s="46" t="s">
        <v>40</v>
      </c>
      <c r="AL3" s="46" t="s">
        <v>39</v>
      </c>
      <c r="AM3" s="94"/>
      <c r="AN3" s="94"/>
    </row>
    <row r="4" spans="1:40" s="31" customFormat="1" ht="27" thickTop="1" thickBot="1">
      <c r="A4" s="55">
        <v>1</v>
      </c>
      <c r="B4" s="53" t="s">
        <v>38</v>
      </c>
      <c r="C4" s="53" t="s">
        <v>29</v>
      </c>
      <c r="D4" s="53" t="s">
        <v>37</v>
      </c>
      <c r="E4" s="53" t="s">
        <v>104</v>
      </c>
      <c r="F4" s="35">
        <v>31</v>
      </c>
      <c r="G4" s="34"/>
      <c r="H4" s="34"/>
      <c r="I4" s="34"/>
      <c r="J4" s="34"/>
      <c r="K4" s="35"/>
      <c r="L4" s="35"/>
      <c r="M4" s="35">
        <v>0</v>
      </c>
      <c r="N4" s="49">
        <v>237475</v>
      </c>
      <c r="O4" s="49"/>
      <c r="P4" s="49">
        <f t="shared" ref="P4:P20" si="0">(200000/31)*F4</f>
        <v>200000</v>
      </c>
      <c r="Q4" s="49">
        <f t="shared" ref="Q4:Q20" si="1">(1100000/31)*F4</f>
        <v>1100000</v>
      </c>
      <c r="R4" s="49">
        <f t="shared" ref="R4:R11" si="2">(((N4*3)*M4)/31)*F4</f>
        <v>0</v>
      </c>
      <c r="S4" s="49">
        <f t="shared" ref="S4:S11" si="3">2*N4*K4</f>
        <v>0</v>
      </c>
      <c r="T4" s="49">
        <f>(31944596/31)*F4</f>
        <v>31944596</v>
      </c>
      <c r="U4" s="49">
        <f t="shared" ref="U4:U23" si="4">N4/7.33*G4*1.4</f>
        <v>0</v>
      </c>
      <c r="V4" s="30"/>
      <c r="W4" s="30"/>
      <c r="X4" s="30"/>
      <c r="Y4" s="29"/>
      <c r="Z4" s="29"/>
      <c r="AA4" s="49">
        <f t="shared" ref="AA4:AA23" si="5">(SUM(P4:X4))+(N4*F4)+(SUM(Y4:Z4))</f>
        <v>40606321</v>
      </c>
      <c r="AB4" s="30"/>
      <c r="AC4" s="30"/>
      <c r="AD4" s="49">
        <f>(N4/7.33)*J4</f>
        <v>0</v>
      </c>
      <c r="AE4" s="30">
        <v>12801720</v>
      </c>
      <c r="AF4" s="49">
        <f t="shared" ref="AF4:AF21" si="6">(N4*F4+P4+Q4)*0.07</f>
        <v>606320.75</v>
      </c>
      <c r="AG4" s="49"/>
      <c r="AH4" s="51">
        <v>0</v>
      </c>
      <c r="AI4" s="49"/>
      <c r="AJ4" s="30"/>
      <c r="AK4" s="30"/>
      <c r="AL4" s="49">
        <f t="shared" ref="AL4:AL11" si="7">AA4-(SUM(AB4:AJ4))</f>
        <v>27198280.25</v>
      </c>
      <c r="AM4" s="30">
        <f>'واريز مرحله اول'!C7</f>
        <v>25000000</v>
      </c>
      <c r="AN4" s="49">
        <f t="shared" ref="AN4:AN20" si="8">AL4-AM4</f>
        <v>2198280.25</v>
      </c>
    </row>
    <row r="5" spans="1:40" s="31" customFormat="1" ht="27" thickTop="1" thickBot="1">
      <c r="A5" s="55">
        <v>2</v>
      </c>
      <c r="B5" s="53" t="s">
        <v>36</v>
      </c>
      <c r="C5" s="53" t="s">
        <v>29</v>
      </c>
      <c r="D5" s="53" t="s">
        <v>35</v>
      </c>
      <c r="E5" s="53" t="s">
        <v>105</v>
      </c>
      <c r="F5" s="35">
        <v>31</v>
      </c>
      <c r="G5" s="34"/>
      <c r="H5" s="34"/>
      <c r="I5" s="34"/>
      <c r="J5" s="34"/>
      <c r="K5" s="35"/>
      <c r="L5" s="35"/>
      <c r="M5" s="35">
        <v>0</v>
      </c>
      <c r="N5" s="49">
        <v>237475</v>
      </c>
      <c r="O5" s="49"/>
      <c r="P5" s="49">
        <f t="shared" si="0"/>
        <v>200000</v>
      </c>
      <c r="Q5" s="49">
        <f t="shared" si="1"/>
        <v>1100000</v>
      </c>
      <c r="R5" s="49">
        <f t="shared" si="2"/>
        <v>0</v>
      </c>
      <c r="S5" s="49">
        <f t="shared" si="3"/>
        <v>0</v>
      </c>
      <c r="T5" s="49">
        <f>(31944596/31)*F5</f>
        <v>31944596</v>
      </c>
      <c r="U5" s="49">
        <f t="shared" si="4"/>
        <v>0</v>
      </c>
      <c r="V5" s="30"/>
      <c r="W5" s="30"/>
      <c r="X5" s="30"/>
      <c r="Y5" s="29"/>
      <c r="Z5" s="29"/>
      <c r="AA5" s="49">
        <f t="shared" si="5"/>
        <v>40606321</v>
      </c>
      <c r="AB5" s="30"/>
      <c r="AC5" s="30"/>
      <c r="AD5" s="49">
        <f t="shared" ref="AD5:AD21" si="9">(N5/7.33)*J5</f>
        <v>0</v>
      </c>
      <c r="AE5" s="30"/>
      <c r="AF5" s="49">
        <f t="shared" si="6"/>
        <v>606320.75</v>
      </c>
      <c r="AG5" s="49"/>
      <c r="AH5" s="51">
        <v>0</v>
      </c>
      <c r="AI5" s="49"/>
      <c r="AJ5" s="30"/>
      <c r="AK5" s="30"/>
      <c r="AL5" s="49">
        <f t="shared" si="7"/>
        <v>40000000.25</v>
      </c>
      <c r="AM5" s="30">
        <f>'واريز مرحله اول'!C8</f>
        <v>40000000</v>
      </c>
      <c r="AN5" s="49">
        <f t="shared" si="8"/>
        <v>0.25</v>
      </c>
    </row>
    <row r="6" spans="1:40" s="31" customFormat="1" ht="27" thickTop="1" thickBot="1">
      <c r="A6" s="55">
        <v>3</v>
      </c>
      <c r="B6" s="53" t="s">
        <v>16</v>
      </c>
      <c r="C6" s="53" t="s">
        <v>29</v>
      </c>
      <c r="D6" s="53" t="s">
        <v>34</v>
      </c>
      <c r="E6" s="53" t="s">
        <v>106</v>
      </c>
      <c r="F6" s="35">
        <v>31</v>
      </c>
      <c r="G6" s="34"/>
      <c r="H6" s="34"/>
      <c r="I6" s="34"/>
      <c r="J6" s="34"/>
      <c r="K6" s="35"/>
      <c r="L6" s="35"/>
      <c r="M6" s="35">
        <v>2</v>
      </c>
      <c r="N6" s="49">
        <v>237475</v>
      </c>
      <c r="O6" s="49"/>
      <c r="P6" s="49">
        <f t="shared" si="0"/>
        <v>200000</v>
      </c>
      <c r="Q6" s="49">
        <f t="shared" si="1"/>
        <v>1100000</v>
      </c>
      <c r="R6" s="49">
        <f t="shared" si="2"/>
        <v>1424850</v>
      </c>
      <c r="S6" s="49">
        <f t="shared" si="3"/>
        <v>0</v>
      </c>
      <c r="T6" s="49">
        <f>(30519746/31)*F6</f>
        <v>30519746</v>
      </c>
      <c r="U6" s="49">
        <f t="shared" si="4"/>
        <v>0</v>
      </c>
      <c r="V6" s="30"/>
      <c r="W6" s="30"/>
      <c r="X6" s="30"/>
      <c r="Y6" s="29"/>
      <c r="Z6" s="29"/>
      <c r="AA6" s="49">
        <f t="shared" si="5"/>
        <v>40606321</v>
      </c>
      <c r="AB6" s="30"/>
      <c r="AC6" s="30"/>
      <c r="AD6" s="49">
        <f t="shared" si="9"/>
        <v>0</v>
      </c>
      <c r="AE6" s="30"/>
      <c r="AF6" s="49">
        <f t="shared" si="6"/>
        <v>606320.75</v>
      </c>
      <c r="AG6" s="49"/>
      <c r="AH6" s="51">
        <v>0</v>
      </c>
      <c r="AI6" s="49"/>
      <c r="AJ6" s="30"/>
      <c r="AK6" s="30"/>
      <c r="AL6" s="49">
        <f t="shared" si="7"/>
        <v>40000000.25</v>
      </c>
      <c r="AM6" s="30">
        <f>'واريز مرحله اول'!C9</f>
        <v>0</v>
      </c>
      <c r="AN6" s="49">
        <f t="shared" si="8"/>
        <v>40000000.25</v>
      </c>
    </row>
    <row r="7" spans="1:40" s="33" customFormat="1" ht="27" thickTop="1" thickBot="1">
      <c r="A7" s="55">
        <v>4</v>
      </c>
      <c r="B7" s="53" t="s">
        <v>33</v>
      </c>
      <c r="C7" s="53" t="s">
        <v>32</v>
      </c>
      <c r="D7" s="53" t="s">
        <v>31</v>
      </c>
      <c r="E7" s="53" t="s">
        <v>107</v>
      </c>
      <c r="F7" s="35">
        <v>31</v>
      </c>
      <c r="G7" s="34">
        <v>65.5</v>
      </c>
      <c r="H7" s="34"/>
      <c r="I7" s="34"/>
      <c r="J7" s="34">
        <v>1.5</v>
      </c>
      <c r="K7" s="35"/>
      <c r="L7" s="35">
        <v>210</v>
      </c>
      <c r="M7" s="35">
        <v>2</v>
      </c>
      <c r="N7" s="49">
        <v>237475</v>
      </c>
      <c r="O7" s="49">
        <f>F7*N7</f>
        <v>7361725</v>
      </c>
      <c r="P7" s="49">
        <f t="shared" si="0"/>
        <v>200000</v>
      </c>
      <c r="Q7" s="49">
        <f t="shared" si="1"/>
        <v>1100000</v>
      </c>
      <c r="R7" s="49">
        <f t="shared" si="2"/>
        <v>1424850</v>
      </c>
      <c r="S7" s="49">
        <f t="shared" si="3"/>
        <v>0</v>
      </c>
      <c r="T7" s="49">
        <v>2000000</v>
      </c>
      <c r="U7" s="49">
        <f t="shared" si="4"/>
        <v>2970867.3260572986</v>
      </c>
      <c r="V7" s="32"/>
      <c r="W7" s="32"/>
      <c r="X7" s="30"/>
      <c r="Y7" s="32"/>
      <c r="Z7" s="32"/>
      <c r="AA7" s="49">
        <f t="shared" si="5"/>
        <v>15057442.326057298</v>
      </c>
      <c r="AB7" s="30"/>
      <c r="AC7" s="30"/>
      <c r="AD7" s="49">
        <f t="shared" si="9"/>
        <v>48596.521145975443</v>
      </c>
      <c r="AE7" s="30">
        <v>12500000</v>
      </c>
      <c r="AF7" s="49">
        <f t="shared" si="6"/>
        <v>606320.75</v>
      </c>
      <c r="AG7" s="49"/>
      <c r="AH7" s="49">
        <f>IF(AA7-X7&lt;11500000,0,((AA7-X7)-11500000)*10%)</f>
        <v>355744.23260572983</v>
      </c>
      <c r="AI7" s="49">
        <f>((N7/440)*3)*L7</f>
        <v>340021.02272727276</v>
      </c>
      <c r="AJ7" s="30"/>
      <c r="AK7" s="30"/>
      <c r="AL7" s="49">
        <f t="shared" si="7"/>
        <v>1206759.7995783202</v>
      </c>
      <c r="AM7" s="30">
        <f>'واريز مرحله اول'!C10</f>
        <v>1200000</v>
      </c>
      <c r="AN7" s="49">
        <f t="shared" si="8"/>
        <v>6759.799578320235</v>
      </c>
    </row>
    <row r="8" spans="1:40" s="31" customFormat="1" ht="27" thickTop="1" thickBot="1">
      <c r="A8" s="55">
        <v>5</v>
      </c>
      <c r="B8" s="53" t="s">
        <v>28</v>
      </c>
      <c r="C8" s="53" t="s">
        <v>27</v>
      </c>
      <c r="D8" s="53" t="s">
        <v>26</v>
      </c>
      <c r="E8" s="53" t="s">
        <v>108</v>
      </c>
      <c r="F8" s="35">
        <v>31</v>
      </c>
      <c r="G8" s="34">
        <v>86.5</v>
      </c>
      <c r="H8" s="34"/>
      <c r="I8" s="34"/>
      <c r="J8" s="34">
        <v>1</v>
      </c>
      <c r="K8" s="35"/>
      <c r="L8" s="35">
        <v>60</v>
      </c>
      <c r="M8" s="35">
        <v>0</v>
      </c>
      <c r="N8" s="49">
        <v>237475</v>
      </c>
      <c r="O8" s="49">
        <f t="shared" ref="O8:O23" si="10">F8*N8</f>
        <v>7361725</v>
      </c>
      <c r="P8" s="49">
        <f t="shared" si="0"/>
        <v>200000</v>
      </c>
      <c r="Q8" s="49">
        <f t="shared" si="1"/>
        <v>1100000</v>
      </c>
      <c r="R8" s="49">
        <f t="shared" si="2"/>
        <v>0</v>
      </c>
      <c r="S8" s="49">
        <f t="shared" si="3"/>
        <v>0</v>
      </c>
      <c r="T8" s="49">
        <v>2000000</v>
      </c>
      <c r="U8" s="49">
        <f t="shared" si="4"/>
        <v>3923359.1405184176</v>
      </c>
      <c r="V8" s="30"/>
      <c r="W8" s="30"/>
      <c r="X8" s="30">
        <f>7000000+1702000</f>
        <v>8702000</v>
      </c>
      <c r="Y8" s="29"/>
      <c r="Z8" s="29"/>
      <c r="AA8" s="49">
        <f t="shared" si="5"/>
        <v>23287084.140518419</v>
      </c>
      <c r="AB8" s="30"/>
      <c r="AC8" s="30"/>
      <c r="AD8" s="49">
        <f t="shared" si="9"/>
        <v>32397.68076398363</v>
      </c>
      <c r="AE8" s="30">
        <v>10000000</v>
      </c>
      <c r="AF8" s="49">
        <f t="shared" si="6"/>
        <v>606320.75</v>
      </c>
      <c r="AG8" s="49"/>
      <c r="AH8" s="49">
        <f>IF(AA8-X8&lt;11500000,0,((AA8-X8)-11500000)*10%)</f>
        <v>308508.41405184194</v>
      </c>
      <c r="AI8" s="49">
        <f>((N8/440)*3)*L8</f>
        <v>97148.863636363647</v>
      </c>
      <c r="AJ8" s="30"/>
      <c r="AK8" s="30"/>
      <c r="AL8" s="49">
        <f t="shared" si="7"/>
        <v>12242708.43206623</v>
      </c>
      <c r="AM8" s="30">
        <f>'واريز مرحله اول'!C11</f>
        <v>13230000</v>
      </c>
      <c r="AN8" s="49">
        <f t="shared" si="8"/>
        <v>-987291.5679337699</v>
      </c>
    </row>
    <row r="9" spans="1:40" s="31" customFormat="1" ht="27" thickTop="1" thickBot="1">
      <c r="A9" s="55">
        <v>6</v>
      </c>
      <c r="B9" s="53" t="s">
        <v>30</v>
      </c>
      <c r="C9" s="53" t="s">
        <v>78</v>
      </c>
      <c r="D9" s="53" t="s">
        <v>79</v>
      </c>
      <c r="E9" s="53" t="s">
        <v>96</v>
      </c>
      <c r="F9" s="35">
        <v>31</v>
      </c>
      <c r="G9" s="34">
        <v>18</v>
      </c>
      <c r="H9" s="34"/>
      <c r="I9" s="34"/>
      <c r="J9" s="34">
        <v>2</v>
      </c>
      <c r="K9" s="35"/>
      <c r="L9" s="35"/>
      <c r="M9" s="35">
        <v>0</v>
      </c>
      <c r="N9" s="49">
        <v>237475</v>
      </c>
      <c r="O9" s="49">
        <f t="shared" si="10"/>
        <v>7361725</v>
      </c>
      <c r="P9" s="49">
        <f t="shared" si="0"/>
        <v>200000</v>
      </c>
      <c r="Q9" s="49">
        <f t="shared" si="1"/>
        <v>1100000</v>
      </c>
      <c r="R9" s="49">
        <f t="shared" si="2"/>
        <v>0</v>
      </c>
      <c r="S9" s="49">
        <f t="shared" ref="S9" si="11">2*N9*K9</f>
        <v>0</v>
      </c>
      <c r="T9" s="49">
        <f>(3944596/31)*F9</f>
        <v>3944596</v>
      </c>
      <c r="U9" s="49">
        <f t="shared" si="4"/>
        <v>816421.5552523873</v>
      </c>
      <c r="V9" s="30"/>
      <c r="W9" s="30"/>
      <c r="X9" s="30"/>
      <c r="Y9" s="29"/>
      <c r="Z9" s="29"/>
      <c r="AA9" s="49">
        <f t="shared" si="5"/>
        <v>13422742.555252388</v>
      </c>
      <c r="AB9" s="30"/>
      <c r="AC9" s="30"/>
      <c r="AD9" s="49">
        <f t="shared" si="9"/>
        <v>64795.361527967259</v>
      </c>
      <c r="AE9" s="30">
        <v>0</v>
      </c>
      <c r="AF9" s="49">
        <f t="shared" si="6"/>
        <v>606320.75</v>
      </c>
      <c r="AG9" s="49"/>
      <c r="AH9" s="51"/>
      <c r="AI9" s="49">
        <f>((N9/440)*3)*L9</f>
        <v>0</v>
      </c>
      <c r="AJ9" s="30"/>
      <c r="AK9" s="30"/>
      <c r="AL9" s="49">
        <f t="shared" ref="AL9" si="12">AA9-(SUM(AB9:AJ9))</f>
        <v>12751626.44372442</v>
      </c>
      <c r="AM9" s="30">
        <f>'واريز مرحله اول'!C12</f>
        <v>12750000</v>
      </c>
      <c r="AN9" s="49">
        <f t="shared" ref="AN9" si="13">AL9-AM9</f>
        <v>1626.4437244199216</v>
      </c>
    </row>
    <row r="10" spans="1:40" s="31" customFormat="1" ht="27" thickTop="1" thickBot="1">
      <c r="A10" s="55">
        <v>7</v>
      </c>
      <c r="B10" s="53" t="s">
        <v>25</v>
      </c>
      <c r="C10" s="53" t="s">
        <v>24</v>
      </c>
      <c r="D10" s="53" t="s">
        <v>23</v>
      </c>
      <c r="E10" s="53" t="s">
        <v>88</v>
      </c>
      <c r="F10" s="35">
        <v>31</v>
      </c>
      <c r="G10" s="34"/>
      <c r="H10" s="34"/>
      <c r="I10" s="34"/>
      <c r="J10" s="34"/>
      <c r="K10" s="35"/>
      <c r="L10" s="35"/>
      <c r="M10" s="35"/>
      <c r="N10" s="49">
        <v>237475</v>
      </c>
      <c r="O10" s="49">
        <f t="shared" si="10"/>
        <v>7361725</v>
      </c>
      <c r="P10" s="49">
        <f t="shared" si="0"/>
        <v>200000</v>
      </c>
      <c r="Q10" s="49">
        <f t="shared" si="1"/>
        <v>1100000</v>
      </c>
      <c r="R10" s="49">
        <f t="shared" si="2"/>
        <v>0</v>
      </c>
      <c r="S10" s="49">
        <f>2*N10*K10</f>
        <v>0</v>
      </c>
      <c r="T10" s="49">
        <f>(6944596/31)*F10</f>
        <v>6944596</v>
      </c>
      <c r="U10" s="49">
        <f t="shared" si="4"/>
        <v>0</v>
      </c>
      <c r="V10" s="30"/>
      <c r="W10" s="30"/>
      <c r="X10" s="30"/>
      <c r="Y10" s="29"/>
      <c r="Z10" s="29"/>
      <c r="AA10" s="49">
        <f t="shared" si="5"/>
        <v>15606321</v>
      </c>
      <c r="AB10" s="30"/>
      <c r="AC10" s="30"/>
      <c r="AD10" s="49">
        <f t="shared" si="9"/>
        <v>0</v>
      </c>
      <c r="AE10" s="30">
        <v>0</v>
      </c>
      <c r="AF10" s="49">
        <f t="shared" si="6"/>
        <v>606320.75</v>
      </c>
      <c r="AG10" s="49"/>
      <c r="AH10" s="51"/>
      <c r="AI10" s="49">
        <f>((N10/440)*3)*L10</f>
        <v>0</v>
      </c>
      <c r="AJ10" s="30"/>
      <c r="AK10" s="30"/>
      <c r="AL10" s="49">
        <f>AA10-(SUM(AB10:AJ10))</f>
        <v>15000000.25</v>
      </c>
      <c r="AM10" s="30">
        <f>'واريز مرحله اول'!C13</f>
        <v>15000000</v>
      </c>
      <c r="AN10" s="49">
        <f>AL10-AM10</f>
        <v>0.25</v>
      </c>
    </row>
    <row r="11" spans="1:40" s="31" customFormat="1" ht="27" thickTop="1" thickBot="1">
      <c r="A11" s="55">
        <v>8</v>
      </c>
      <c r="B11" s="53" t="s">
        <v>22</v>
      </c>
      <c r="C11" s="53" t="s">
        <v>21</v>
      </c>
      <c r="D11" s="53" t="s">
        <v>20</v>
      </c>
      <c r="E11" s="53" t="s">
        <v>109</v>
      </c>
      <c r="F11" s="35">
        <v>31</v>
      </c>
      <c r="G11" s="34"/>
      <c r="H11" s="34"/>
      <c r="I11" s="34"/>
      <c r="J11" s="34"/>
      <c r="K11" s="35"/>
      <c r="L11" s="35"/>
      <c r="M11" s="35"/>
      <c r="N11" s="49">
        <v>237475</v>
      </c>
      <c r="O11" s="49">
        <f t="shared" si="10"/>
        <v>7361725</v>
      </c>
      <c r="P11" s="49">
        <f t="shared" si="0"/>
        <v>200000</v>
      </c>
      <c r="Q11" s="49">
        <f t="shared" si="1"/>
        <v>1100000</v>
      </c>
      <c r="R11" s="49">
        <f t="shared" si="2"/>
        <v>0</v>
      </c>
      <c r="S11" s="49">
        <f t="shared" si="3"/>
        <v>0</v>
      </c>
      <c r="T11" s="49">
        <v>444596</v>
      </c>
      <c r="U11" s="49">
        <f t="shared" si="4"/>
        <v>0</v>
      </c>
      <c r="V11" s="30"/>
      <c r="W11" s="30"/>
      <c r="X11" s="30"/>
      <c r="Y11" s="29"/>
      <c r="Z11" s="29"/>
      <c r="AA11" s="49">
        <f t="shared" si="5"/>
        <v>9106321</v>
      </c>
      <c r="AB11" s="30"/>
      <c r="AC11" s="30"/>
      <c r="AD11" s="49">
        <f t="shared" si="9"/>
        <v>0</v>
      </c>
      <c r="AE11" s="30">
        <v>1000000</v>
      </c>
      <c r="AF11" s="49">
        <f t="shared" si="6"/>
        <v>606320.75</v>
      </c>
      <c r="AG11" s="49"/>
      <c r="AH11" s="49">
        <f t="shared" ref="AH11:AH24" si="14">IF(AA11-X11&lt;11500000,0,((AA11-X11)-11500000)*10%)</f>
        <v>0</v>
      </c>
      <c r="AI11" s="49"/>
      <c r="AJ11" s="30">
        <v>1000000</v>
      </c>
      <c r="AK11" s="30">
        <v>3000000</v>
      </c>
      <c r="AL11" s="49">
        <f t="shared" si="7"/>
        <v>6500000.25</v>
      </c>
      <c r="AM11" s="30">
        <f>'واريز مرحله اول'!C14</f>
        <v>6500000</v>
      </c>
      <c r="AN11" s="49">
        <f t="shared" si="8"/>
        <v>0.25</v>
      </c>
    </row>
    <row r="12" spans="1:40" s="31" customFormat="1" ht="27" thickTop="1" thickBot="1">
      <c r="A12" s="55">
        <v>9</v>
      </c>
      <c r="B12" s="53" t="s">
        <v>19</v>
      </c>
      <c r="C12" s="53" t="s">
        <v>18</v>
      </c>
      <c r="D12" s="53" t="s">
        <v>15</v>
      </c>
      <c r="E12" s="53" t="s">
        <v>89</v>
      </c>
      <c r="F12" s="35">
        <v>31</v>
      </c>
      <c r="G12" s="34">
        <v>53</v>
      </c>
      <c r="H12" s="34"/>
      <c r="I12" s="34"/>
      <c r="J12" s="34">
        <v>0.5</v>
      </c>
      <c r="K12" s="35"/>
      <c r="L12" s="35">
        <v>1060</v>
      </c>
      <c r="M12" s="35">
        <v>1</v>
      </c>
      <c r="N12" s="49">
        <v>385000</v>
      </c>
      <c r="O12" s="49">
        <f t="shared" si="10"/>
        <v>11935000</v>
      </c>
      <c r="P12" s="49">
        <f t="shared" si="0"/>
        <v>200000</v>
      </c>
      <c r="Q12" s="49">
        <f t="shared" si="1"/>
        <v>1100000</v>
      </c>
      <c r="R12" s="49">
        <f>(((237475*3)*M12)/31)*F12</f>
        <v>712425</v>
      </c>
      <c r="S12" s="49"/>
      <c r="T12" s="49"/>
      <c r="U12" s="49">
        <f t="shared" si="4"/>
        <v>3897271.4870395632</v>
      </c>
      <c r="V12" s="30"/>
      <c r="W12" s="30"/>
      <c r="X12" s="56">
        <v>6772500</v>
      </c>
      <c r="Y12" s="29"/>
      <c r="Z12" s="29"/>
      <c r="AA12" s="49">
        <f t="shared" si="5"/>
        <v>24617196.487039562</v>
      </c>
      <c r="AB12" s="30"/>
      <c r="AC12" s="30">
        <v>0</v>
      </c>
      <c r="AD12" s="49">
        <f t="shared" si="9"/>
        <v>26261.937244201908</v>
      </c>
      <c r="AE12" s="30">
        <v>5000000</v>
      </c>
      <c r="AF12" s="49">
        <f t="shared" si="6"/>
        <v>926450.00000000012</v>
      </c>
      <c r="AG12" s="49"/>
      <c r="AH12" s="49">
        <f t="shared" si="14"/>
        <v>634469.64870395628</v>
      </c>
      <c r="AI12" s="49">
        <f>((N12/440)*3)*L12</f>
        <v>2782500</v>
      </c>
      <c r="AJ12" s="30"/>
      <c r="AK12" s="30"/>
      <c r="AL12" s="49">
        <f t="shared" ref="AL12:AL20" si="15">AA12-(SUM(AB12:AJ12))</f>
        <v>15247514.901091404</v>
      </c>
      <c r="AM12" s="30">
        <f>'واريز مرحله اول'!C15</f>
        <v>15247000</v>
      </c>
      <c r="AN12" s="49">
        <f t="shared" si="8"/>
        <v>514.9010914042592</v>
      </c>
    </row>
    <row r="13" spans="1:40" s="31" customFormat="1" ht="27" thickTop="1" thickBot="1">
      <c r="A13" s="55">
        <v>10</v>
      </c>
      <c r="B13" s="53" t="s">
        <v>112</v>
      </c>
      <c r="C13" s="53" t="s">
        <v>17</v>
      </c>
      <c r="D13" s="53" t="s">
        <v>15</v>
      </c>
      <c r="E13" s="53" t="s">
        <v>90</v>
      </c>
      <c r="F13" s="35">
        <v>31</v>
      </c>
      <c r="G13" s="34">
        <v>80</v>
      </c>
      <c r="H13" s="34"/>
      <c r="I13" s="34"/>
      <c r="J13" s="34">
        <v>0.3</v>
      </c>
      <c r="K13" s="35"/>
      <c r="L13" s="35">
        <v>210</v>
      </c>
      <c r="M13" s="35"/>
      <c r="N13" s="49">
        <v>237475</v>
      </c>
      <c r="O13" s="49">
        <f t="shared" si="10"/>
        <v>7361725</v>
      </c>
      <c r="P13" s="49">
        <f t="shared" si="0"/>
        <v>200000</v>
      </c>
      <c r="Q13" s="49">
        <f t="shared" si="1"/>
        <v>1100000</v>
      </c>
      <c r="R13" s="49">
        <f t="shared" ref="R13:R17" si="16">(((237475*3)*M13)/31)*F13</f>
        <v>0</v>
      </c>
      <c r="S13" s="49"/>
      <c r="T13" s="49"/>
      <c r="U13" s="49">
        <f t="shared" si="4"/>
        <v>3628540.245566166</v>
      </c>
      <c r="V13" s="30"/>
      <c r="W13" s="30"/>
      <c r="X13" s="30"/>
      <c r="Y13" s="29"/>
      <c r="Z13" s="29"/>
      <c r="AA13" s="49">
        <f t="shared" si="5"/>
        <v>12290265.245566167</v>
      </c>
      <c r="AB13" s="30"/>
      <c r="AC13" s="30"/>
      <c r="AD13" s="49">
        <f t="shared" si="9"/>
        <v>9719.3042291950878</v>
      </c>
      <c r="AE13" s="30"/>
      <c r="AF13" s="49">
        <f t="shared" si="6"/>
        <v>606320.75</v>
      </c>
      <c r="AG13" s="49"/>
      <c r="AH13" s="49">
        <f t="shared" si="14"/>
        <v>79026.5245566167</v>
      </c>
      <c r="AI13" s="49">
        <f>((N13/440)*3)*L13</f>
        <v>340021.02272727276</v>
      </c>
      <c r="AJ13" s="30"/>
      <c r="AK13" s="30"/>
      <c r="AL13" s="49">
        <f t="shared" si="15"/>
        <v>11255177.644053083</v>
      </c>
      <c r="AM13" s="30">
        <f>'واريز مرحله اول'!C16</f>
        <v>11255000</v>
      </c>
      <c r="AN13" s="49">
        <f t="shared" si="8"/>
        <v>177.64405308291316</v>
      </c>
    </row>
    <row r="14" spans="1:40" s="31" customFormat="1" ht="27" thickTop="1" thickBot="1">
      <c r="A14" s="55">
        <v>11</v>
      </c>
      <c r="B14" s="53" t="s">
        <v>14</v>
      </c>
      <c r="C14" s="53" t="s">
        <v>13</v>
      </c>
      <c r="D14" s="53" t="s">
        <v>12</v>
      </c>
      <c r="E14" s="53" t="s">
        <v>110</v>
      </c>
      <c r="F14" s="35">
        <v>31</v>
      </c>
      <c r="G14" s="34"/>
      <c r="H14" s="34"/>
      <c r="I14" s="34"/>
      <c r="J14" s="34"/>
      <c r="K14" s="35"/>
      <c r="L14" s="35"/>
      <c r="M14" s="35"/>
      <c r="N14" s="49">
        <v>237475</v>
      </c>
      <c r="O14" s="49">
        <f t="shared" si="10"/>
        <v>7361725</v>
      </c>
      <c r="P14" s="49">
        <f t="shared" si="0"/>
        <v>200000</v>
      </c>
      <c r="Q14" s="49">
        <f t="shared" si="1"/>
        <v>1100000</v>
      </c>
      <c r="R14" s="49">
        <f t="shared" si="16"/>
        <v>0</v>
      </c>
      <c r="S14" s="49"/>
      <c r="T14" s="49">
        <v>444596</v>
      </c>
      <c r="U14" s="49">
        <f t="shared" si="4"/>
        <v>0</v>
      </c>
      <c r="V14" s="30"/>
      <c r="W14" s="30"/>
      <c r="X14" s="30"/>
      <c r="Y14" s="29"/>
      <c r="Z14" s="29"/>
      <c r="AA14" s="49">
        <f t="shared" si="5"/>
        <v>9106321</v>
      </c>
      <c r="AB14" s="30"/>
      <c r="AC14" s="30"/>
      <c r="AD14" s="49">
        <f t="shared" si="9"/>
        <v>0</v>
      </c>
      <c r="AE14" s="30"/>
      <c r="AF14" s="49">
        <f t="shared" si="6"/>
        <v>606320.75</v>
      </c>
      <c r="AG14" s="49"/>
      <c r="AH14" s="49">
        <f t="shared" si="14"/>
        <v>0</v>
      </c>
      <c r="AI14" s="49"/>
      <c r="AJ14" s="30"/>
      <c r="AK14" s="30"/>
      <c r="AL14" s="49">
        <f t="shared" si="15"/>
        <v>8500000.25</v>
      </c>
      <c r="AM14" s="30">
        <f>'واريز مرحله اول'!C17</f>
        <v>8500000</v>
      </c>
      <c r="AN14" s="49">
        <f t="shared" si="8"/>
        <v>0.25</v>
      </c>
    </row>
    <row r="15" spans="1:40" s="31" customFormat="1" ht="27" thickTop="1" thickBot="1">
      <c r="A15" s="52">
        <v>12</v>
      </c>
      <c r="B15" s="53" t="s">
        <v>11</v>
      </c>
      <c r="C15" s="53" t="s">
        <v>10</v>
      </c>
      <c r="D15" s="53" t="s">
        <v>9</v>
      </c>
      <c r="E15" s="53" t="s">
        <v>111</v>
      </c>
      <c r="F15" s="35">
        <v>31</v>
      </c>
      <c r="G15" s="34"/>
      <c r="H15" s="34"/>
      <c r="I15" s="34"/>
      <c r="J15" s="34"/>
      <c r="K15" s="35"/>
      <c r="L15" s="35"/>
      <c r="M15" s="35"/>
      <c r="N15" s="49">
        <v>237475</v>
      </c>
      <c r="O15" s="49">
        <f t="shared" si="10"/>
        <v>7361725</v>
      </c>
      <c r="P15" s="49">
        <f t="shared" si="0"/>
        <v>200000</v>
      </c>
      <c r="Q15" s="49">
        <f t="shared" si="1"/>
        <v>1100000</v>
      </c>
      <c r="R15" s="49">
        <f t="shared" si="16"/>
        <v>0</v>
      </c>
      <c r="S15" s="49">
        <f t="shared" ref="S15:S20" si="17">2*N15*K15</f>
        <v>0</v>
      </c>
      <c r="T15" s="49">
        <v>3338275</v>
      </c>
      <c r="U15" s="49">
        <f t="shared" si="4"/>
        <v>0</v>
      </c>
      <c r="V15" s="30"/>
      <c r="W15" s="30"/>
      <c r="X15" s="30"/>
      <c r="Y15" s="29"/>
      <c r="Z15" s="29"/>
      <c r="AA15" s="49">
        <f>(SUM(P15:X15))+(N15*F15)+(SUM(Y15:Z15))+AF15</f>
        <v>12606320.75</v>
      </c>
      <c r="AB15" s="30"/>
      <c r="AC15" s="30"/>
      <c r="AD15" s="49">
        <f t="shared" si="9"/>
        <v>0</v>
      </c>
      <c r="AE15" s="30">
        <v>2000000</v>
      </c>
      <c r="AF15" s="49">
        <f t="shared" si="6"/>
        <v>606320.75</v>
      </c>
      <c r="AG15" s="49"/>
      <c r="AH15" s="51"/>
      <c r="AI15" s="49"/>
      <c r="AJ15" s="30"/>
      <c r="AK15" s="30"/>
      <c r="AL15" s="49">
        <f t="shared" si="15"/>
        <v>10000000</v>
      </c>
      <c r="AM15" s="30">
        <f>'واريز مرحله اول'!C18</f>
        <v>10000000</v>
      </c>
      <c r="AN15" s="49">
        <f t="shared" si="8"/>
        <v>0</v>
      </c>
    </row>
    <row r="16" spans="1:40" s="31" customFormat="1" ht="27" thickTop="1" thickBot="1">
      <c r="A16" s="52">
        <v>13</v>
      </c>
      <c r="B16" s="53" t="s">
        <v>8</v>
      </c>
      <c r="C16" s="53" t="s">
        <v>7</v>
      </c>
      <c r="D16" s="53" t="s">
        <v>1</v>
      </c>
      <c r="E16" s="53" t="s">
        <v>92</v>
      </c>
      <c r="F16" s="35">
        <v>31</v>
      </c>
      <c r="G16" s="34">
        <v>2</v>
      </c>
      <c r="H16" s="34"/>
      <c r="I16" s="34"/>
      <c r="J16" s="34">
        <v>1.5</v>
      </c>
      <c r="K16" s="35"/>
      <c r="L16" s="35">
        <v>60</v>
      </c>
      <c r="M16" s="35"/>
      <c r="N16" s="49">
        <v>237475</v>
      </c>
      <c r="O16" s="49">
        <f t="shared" si="10"/>
        <v>7361725</v>
      </c>
      <c r="P16" s="49">
        <f t="shared" si="0"/>
        <v>200000</v>
      </c>
      <c r="Q16" s="49">
        <f t="shared" si="1"/>
        <v>1100000</v>
      </c>
      <c r="R16" s="49">
        <f t="shared" si="16"/>
        <v>0</v>
      </c>
      <c r="S16" s="49">
        <f t="shared" si="17"/>
        <v>0</v>
      </c>
      <c r="T16" s="49">
        <f>(5838275/31)*F16</f>
        <v>5838275</v>
      </c>
      <c r="U16" s="49">
        <f t="shared" si="4"/>
        <v>90713.506139154153</v>
      </c>
      <c r="V16" s="30"/>
      <c r="W16" s="30"/>
      <c r="X16" s="30"/>
      <c r="Y16" s="29"/>
      <c r="Z16" s="29"/>
      <c r="AA16" s="49">
        <f t="shared" si="5"/>
        <v>14590713.506139155</v>
      </c>
      <c r="AB16" s="30"/>
      <c r="AC16" s="30">
        <v>0</v>
      </c>
      <c r="AD16" s="49">
        <f t="shared" si="9"/>
        <v>48596.521145975443</v>
      </c>
      <c r="AE16" s="30">
        <v>7000000</v>
      </c>
      <c r="AF16" s="49">
        <f t="shared" si="6"/>
        <v>606320.75</v>
      </c>
      <c r="AG16" s="49"/>
      <c r="AH16" s="51"/>
      <c r="AI16" s="49">
        <f t="shared" ref="AI16:AI23" si="18">((N16/440)*3)*L16</f>
        <v>97148.863636363647</v>
      </c>
      <c r="AJ16" s="30"/>
      <c r="AK16" s="30"/>
      <c r="AL16" s="49">
        <f t="shared" si="15"/>
        <v>6838647.371356817</v>
      </c>
      <c r="AM16" s="30">
        <f>'واريز مرحله اول'!C19</f>
        <v>0</v>
      </c>
      <c r="AN16" s="49">
        <f t="shared" si="8"/>
        <v>6838647.371356817</v>
      </c>
    </row>
    <row r="17" spans="1:40" s="31" customFormat="1" ht="27" thickTop="1" thickBot="1">
      <c r="A17" s="55">
        <v>14</v>
      </c>
      <c r="B17" s="53" t="s">
        <v>6</v>
      </c>
      <c r="C17" s="53" t="s">
        <v>5</v>
      </c>
      <c r="D17" s="53" t="s">
        <v>1</v>
      </c>
      <c r="E17" s="53" t="s">
        <v>93</v>
      </c>
      <c r="F17" s="35">
        <v>31</v>
      </c>
      <c r="G17" s="34"/>
      <c r="H17" s="34"/>
      <c r="I17" s="34"/>
      <c r="J17" s="34"/>
      <c r="K17" s="35"/>
      <c r="L17" s="35"/>
      <c r="M17" s="35"/>
      <c r="N17" s="49">
        <v>237475</v>
      </c>
      <c r="O17" s="49">
        <f t="shared" si="10"/>
        <v>7361725</v>
      </c>
      <c r="P17" s="49">
        <f t="shared" si="0"/>
        <v>200000</v>
      </c>
      <c r="Q17" s="49">
        <f t="shared" si="1"/>
        <v>1100000</v>
      </c>
      <c r="R17" s="49">
        <f t="shared" si="16"/>
        <v>0</v>
      </c>
      <c r="S17" s="49">
        <f t="shared" si="17"/>
        <v>0</v>
      </c>
      <c r="T17" s="49">
        <f>(944596/31)*F17</f>
        <v>944596</v>
      </c>
      <c r="U17" s="49">
        <f t="shared" si="4"/>
        <v>0</v>
      </c>
      <c r="V17" s="30"/>
      <c r="W17" s="30"/>
      <c r="X17" s="30"/>
      <c r="Y17" s="29"/>
      <c r="Z17" s="29"/>
      <c r="AA17" s="49">
        <f t="shared" si="5"/>
        <v>9606321</v>
      </c>
      <c r="AB17" s="30"/>
      <c r="AC17" s="30"/>
      <c r="AD17" s="49">
        <f t="shared" si="9"/>
        <v>0</v>
      </c>
      <c r="AE17" s="30">
        <v>0</v>
      </c>
      <c r="AF17" s="49">
        <f t="shared" si="6"/>
        <v>606320.75</v>
      </c>
      <c r="AG17" s="49"/>
      <c r="AH17" s="49">
        <f t="shared" si="14"/>
        <v>0</v>
      </c>
      <c r="AI17" s="49">
        <f t="shared" si="18"/>
        <v>0</v>
      </c>
      <c r="AJ17" s="30"/>
      <c r="AK17" s="30"/>
      <c r="AL17" s="49">
        <f t="shared" si="15"/>
        <v>9000000.25</v>
      </c>
      <c r="AM17" s="30">
        <f>'واريز مرحله اول'!C20</f>
        <v>9000000</v>
      </c>
      <c r="AN17" s="49">
        <f t="shared" si="8"/>
        <v>0.25</v>
      </c>
    </row>
    <row r="18" spans="1:40" s="31" customFormat="1" ht="27" thickTop="1" thickBot="1">
      <c r="A18" s="52">
        <v>15</v>
      </c>
      <c r="B18" s="53" t="s">
        <v>101</v>
      </c>
      <c r="C18" s="53" t="s">
        <v>4</v>
      </c>
      <c r="D18" s="53" t="s">
        <v>1</v>
      </c>
      <c r="E18" s="53" t="s">
        <v>94</v>
      </c>
      <c r="F18" s="35">
        <v>31</v>
      </c>
      <c r="G18" s="34">
        <v>31.5</v>
      </c>
      <c r="H18" s="34"/>
      <c r="I18" s="34"/>
      <c r="J18" s="34">
        <v>0.5</v>
      </c>
      <c r="K18" s="35"/>
      <c r="L18" s="35"/>
      <c r="M18" s="35">
        <v>2</v>
      </c>
      <c r="N18" s="49">
        <v>237475</v>
      </c>
      <c r="O18" s="49">
        <f t="shared" si="10"/>
        <v>7361725</v>
      </c>
      <c r="P18" s="49">
        <f t="shared" si="0"/>
        <v>200000</v>
      </c>
      <c r="Q18" s="49">
        <f t="shared" si="1"/>
        <v>1100000</v>
      </c>
      <c r="R18" s="49">
        <f t="shared" ref="R18:R23" si="19">(((N18*3)*M18)/31)*F18</f>
        <v>1424850</v>
      </c>
      <c r="S18" s="49">
        <f t="shared" si="17"/>
        <v>0</v>
      </c>
      <c r="T18" s="49"/>
      <c r="U18" s="49">
        <f t="shared" si="4"/>
        <v>1428737.721691678</v>
      </c>
      <c r="V18" s="30"/>
      <c r="W18" s="30"/>
      <c r="X18" s="30"/>
      <c r="Y18" s="29"/>
      <c r="Z18" s="29"/>
      <c r="AA18" s="49">
        <f t="shared" si="5"/>
        <v>11515312.721691679</v>
      </c>
      <c r="AB18" s="30"/>
      <c r="AC18" s="30"/>
      <c r="AD18" s="49">
        <f t="shared" si="9"/>
        <v>16198.840381991815</v>
      </c>
      <c r="AE18" s="30">
        <v>5000000</v>
      </c>
      <c r="AF18" s="49">
        <f t="shared" si="6"/>
        <v>606320.75</v>
      </c>
      <c r="AG18" s="49"/>
      <c r="AH18" s="49">
        <f t="shared" si="14"/>
        <v>1531.272169167921</v>
      </c>
      <c r="AI18" s="49">
        <f t="shared" si="18"/>
        <v>0</v>
      </c>
      <c r="AJ18" s="30"/>
      <c r="AK18" s="30"/>
      <c r="AL18" s="49">
        <f t="shared" si="15"/>
        <v>5891261.8591405191</v>
      </c>
      <c r="AM18" s="30">
        <f>'واريز مرحله اول'!C21</f>
        <v>0</v>
      </c>
      <c r="AN18" s="49">
        <f t="shared" si="8"/>
        <v>5891261.8591405191</v>
      </c>
    </row>
    <row r="19" spans="1:40" s="31" customFormat="1" ht="27" thickTop="1" thickBot="1">
      <c r="A19" s="55">
        <v>16</v>
      </c>
      <c r="B19" s="53" t="s">
        <v>102</v>
      </c>
      <c r="C19" s="53" t="s">
        <v>3</v>
      </c>
      <c r="D19" s="53" t="s">
        <v>1</v>
      </c>
      <c r="E19" s="53" t="s">
        <v>91</v>
      </c>
      <c r="F19" s="35">
        <v>31</v>
      </c>
      <c r="G19" s="34"/>
      <c r="H19" s="34"/>
      <c r="I19" s="34"/>
      <c r="J19" s="34"/>
      <c r="K19" s="35"/>
      <c r="L19" s="35"/>
      <c r="M19" s="35">
        <v>2</v>
      </c>
      <c r="N19" s="49">
        <v>237475</v>
      </c>
      <c r="O19" s="49">
        <f t="shared" si="10"/>
        <v>7361725</v>
      </c>
      <c r="P19" s="49">
        <f t="shared" si="0"/>
        <v>200000</v>
      </c>
      <c r="Q19" s="49">
        <f t="shared" si="1"/>
        <v>1100000</v>
      </c>
      <c r="R19" s="49">
        <f t="shared" si="19"/>
        <v>1424850</v>
      </c>
      <c r="S19" s="49">
        <f t="shared" si="17"/>
        <v>0</v>
      </c>
      <c r="T19" s="49"/>
      <c r="U19" s="49">
        <f t="shared" si="4"/>
        <v>0</v>
      </c>
      <c r="V19" s="30"/>
      <c r="W19" s="30"/>
      <c r="X19" s="30"/>
      <c r="Y19" s="29"/>
      <c r="Z19" s="29"/>
      <c r="AA19" s="49">
        <f t="shared" si="5"/>
        <v>10086575</v>
      </c>
      <c r="AB19" s="30"/>
      <c r="AC19" s="30"/>
      <c r="AD19" s="49">
        <f t="shared" si="9"/>
        <v>0</v>
      </c>
      <c r="AE19" s="30"/>
      <c r="AF19" s="49">
        <f t="shared" si="6"/>
        <v>606320.75</v>
      </c>
      <c r="AG19" s="49"/>
      <c r="AH19" s="49">
        <f t="shared" si="14"/>
        <v>0</v>
      </c>
      <c r="AI19" s="49">
        <f t="shared" si="18"/>
        <v>0</v>
      </c>
      <c r="AJ19" s="30">
        <v>2000000</v>
      </c>
      <c r="AK19" s="30">
        <v>13000000</v>
      </c>
      <c r="AL19" s="49">
        <f t="shared" si="15"/>
        <v>7480254.25</v>
      </c>
      <c r="AM19" s="30">
        <f>'واريز مرحله اول'!C22</f>
        <v>7480000</v>
      </c>
      <c r="AN19" s="49">
        <f t="shared" si="8"/>
        <v>254.25</v>
      </c>
    </row>
    <row r="20" spans="1:40" s="31" customFormat="1" ht="27" thickTop="1" thickBot="1">
      <c r="A20" s="55">
        <v>17</v>
      </c>
      <c r="B20" s="53" t="s">
        <v>103</v>
      </c>
      <c r="C20" s="53" t="s">
        <v>2</v>
      </c>
      <c r="D20" s="53" t="s">
        <v>1</v>
      </c>
      <c r="E20" s="53" t="s">
        <v>97</v>
      </c>
      <c r="F20" s="35">
        <v>31</v>
      </c>
      <c r="G20" s="34">
        <v>81</v>
      </c>
      <c r="H20" s="34"/>
      <c r="I20" s="34"/>
      <c r="J20" s="34">
        <v>0.5</v>
      </c>
      <c r="K20" s="35"/>
      <c r="L20" s="35"/>
      <c r="M20" s="35"/>
      <c r="N20" s="49">
        <v>237475</v>
      </c>
      <c r="O20" s="49">
        <f t="shared" si="10"/>
        <v>7361725</v>
      </c>
      <c r="P20" s="49">
        <f t="shared" si="0"/>
        <v>200000</v>
      </c>
      <c r="Q20" s="49">
        <f t="shared" si="1"/>
        <v>1100000</v>
      </c>
      <c r="R20" s="49">
        <f t="shared" si="19"/>
        <v>0</v>
      </c>
      <c r="S20" s="49">
        <f t="shared" si="17"/>
        <v>0</v>
      </c>
      <c r="T20" s="49"/>
      <c r="U20" s="49">
        <f t="shared" si="4"/>
        <v>3673896.9986357433</v>
      </c>
      <c r="V20" s="30"/>
      <c r="W20" s="30"/>
      <c r="X20" s="30">
        <f>320000+1300000</f>
        <v>1620000</v>
      </c>
      <c r="Y20" s="29"/>
      <c r="Z20" s="29"/>
      <c r="AA20" s="49">
        <f t="shared" si="5"/>
        <v>13955621.998635743</v>
      </c>
      <c r="AB20" s="30"/>
      <c r="AC20" s="30"/>
      <c r="AD20" s="49">
        <f t="shared" si="9"/>
        <v>16198.840381991815</v>
      </c>
      <c r="AE20" s="30"/>
      <c r="AF20" s="49">
        <f t="shared" si="6"/>
        <v>606320.75</v>
      </c>
      <c r="AG20" s="49"/>
      <c r="AH20" s="49">
        <f t="shared" si="14"/>
        <v>83562.199863574293</v>
      </c>
      <c r="AI20" s="49">
        <f t="shared" si="18"/>
        <v>0</v>
      </c>
      <c r="AJ20" s="30"/>
      <c r="AK20" s="30"/>
      <c r="AL20" s="49">
        <f t="shared" si="15"/>
        <v>13249540.208390176</v>
      </c>
      <c r="AM20" s="30">
        <f>'واريز مرحله اول'!C23</f>
        <v>13249000</v>
      </c>
      <c r="AN20" s="49">
        <f t="shared" si="8"/>
        <v>540.20839017629623</v>
      </c>
    </row>
    <row r="21" spans="1:40" s="31" customFormat="1" ht="27" thickTop="1" thickBot="1">
      <c r="A21" s="55">
        <v>18</v>
      </c>
      <c r="B21" s="53" t="s">
        <v>114</v>
      </c>
      <c r="C21" s="53" t="s">
        <v>115</v>
      </c>
      <c r="D21" s="53" t="s">
        <v>116</v>
      </c>
      <c r="E21" s="53" t="str">
        <f>B21&amp;C21</f>
        <v>مهراب صالحي</v>
      </c>
      <c r="F21" s="35">
        <v>31</v>
      </c>
      <c r="G21" s="34">
        <v>10.5</v>
      </c>
      <c r="H21" s="34"/>
      <c r="I21" s="34"/>
      <c r="J21" s="34">
        <v>0</v>
      </c>
      <c r="K21" s="35"/>
      <c r="L21" s="35">
        <v>90</v>
      </c>
      <c r="M21" s="35"/>
      <c r="N21" s="49">
        <v>237475</v>
      </c>
      <c r="O21" s="49">
        <f t="shared" si="10"/>
        <v>7361725</v>
      </c>
      <c r="P21" s="49">
        <f t="shared" ref="P21" si="20">(200000/31)*F21</f>
        <v>200000</v>
      </c>
      <c r="Q21" s="49">
        <f t="shared" ref="Q21" si="21">(1100000/31)*F21</f>
        <v>1100000</v>
      </c>
      <c r="R21" s="49">
        <f t="shared" si="19"/>
        <v>0</v>
      </c>
      <c r="S21" s="49">
        <f t="shared" ref="S21" si="22">2*N21*K21</f>
        <v>0</v>
      </c>
      <c r="T21" s="49"/>
      <c r="U21" s="49">
        <f t="shared" si="4"/>
        <v>476245.90723055927</v>
      </c>
      <c r="V21" s="30"/>
      <c r="W21" s="30"/>
      <c r="X21" s="30"/>
      <c r="Y21" s="29"/>
      <c r="Z21" s="29"/>
      <c r="AA21" s="49">
        <f t="shared" si="5"/>
        <v>9137970.9072305597</v>
      </c>
      <c r="AB21" s="30"/>
      <c r="AC21" s="30"/>
      <c r="AD21" s="49">
        <f t="shared" si="9"/>
        <v>0</v>
      </c>
      <c r="AE21" s="30"/>
      <c r="AF21" s="49">
        <f t="shared" si="6"/>
        <v>606320.75</v>
      </c>
      <c r="AG21" s="49"/>
      <c r="AH21" s="49">
        <f t="shared" si="14"/>
        <v>0</v>
      </c>
      <c r="AI21" s="49">
        <f>((N21/440)*3)*L21+55404</f>
        <v>201127.29545454547</v>
      </c>
      <c r="AJ21" s="30"/>
      <c r="AK21" s="30"/>
      <c r="AL21" s="49">
        <f t="shared" ref="AL21" si="23">AA21-(SUM(AB21:AJ21))</f>
        <v>8330522.8617760148</v>
      </c>
      <c r="AM21" s="30">
        <f>'واريز مرحله اول'!C24</f>
        <v>8390000</v>
      </c>
      <c r="AN21" s="49">
        <f t="shared" ref="AN21" si="24">AL21-AM21</f>
        <v>-59477.13822398521</v>
      </c>
    </row>
    <row r="22" spans="1:40" s="31" customFormat="1" ht="27" thickTop="1" thickBot="1">
      <c r="A22" s="55">
        <v>19</v>
      </c>
      <c r="B22" s="53" t="s">
        <v>30</v>
      </c>
      <c r="C22" s="53" t="s">
        <v>117</v>
      </c>
      <c r="D22" s="53" t="s">
        <v>1</v>
      </c>
      <c r="E22" s="53" t="str">
        <f t="shared" ref="E22:E23" si="25">B22&amp;C22</f>
        <v>محسن عباسي</v>
      </c>
      <c r="F22" s="35">
        <v>31</v>
      </c>
      <c r="G22" s="34">
        <v>52.8</v>
      </c>
      <c r="H22" s="34"/>
      <c r="I22" s="34"/>
      <c r="J22" s="34">
        <v>0.8</v>
      </c>
      <c r="K22" s="35"/>
      <c r="L22" s="35">
        <v>135</v>
      </c>
      <c r="M22" s="35"/>
      <c r="N22" s="49">
        <v>237475</v>
      </c>
      <c r="O22" s="49">
        <f t="shared" si="10"/>
        <v>7361725</v>
      </c>
      <c r="P22" s="49">
        <f t="shared" ref="P22:P23" si="26">(200000/31)*F22</f>
        <v>200000</v>
      </c>
      <c r="Q22" s="49">
        <f t="shared" ref="Q22:Q23" si="27">(1100000/31)*F22</f>
        <v>1100000</v>
      </c>
      <c r="R22" s="49">
        <f t="shared" si="19"/>
        <v>0</v>
      </c>
      <c r="S22" s="49">
        <f t="shared" ref="S22:S23" si="28">2*N22*K22</f>
        <v>0</v>
      </c>
      <c r="T22" s="49"/>
      <c r="U22" s="49">
        <f t="shared" si="4"/>
        <v>2394836.5620736694</v>
      </c>
      <c r="V22" s="30"/>
      <c r="W22" s="30"/>
      <c r="X22" s="30">
        <v>1400000</v>
      </c>
      <c r="Y22" s="29"/>
      <c r="Z22" s="29"/>
      <c r="AA22" s="49">
        <f t="shared" si="5"/>
        <v>12456561.56207367</v>
      </c>
      <c r="AB22" s="30"/>
      <c r="AC22" s="30"/>
      <c r="AD22" s="49">
        <f>(N22/7.33)*J22</f>
        <v>25918.144611186905</v>
      </c>
      <c r="AE22" s="30"/>
      <c r="AF22" s="49"/>
      <c r="AG22" s="49"/>
      <c r="AH22" s="49">
        <f t="shared" si="14"/>
        <v>0</v>
      </c>
      <c r="AI22" s="49">
        <f t="shared" si="18"/>
        <v>218584.94318181821</v>
      </c>
      <c r="AJ22" s="30"/>
      <c r="AK22" s="30"/>
      <c r="AL22" s="49">
        <f t="shared" ref="AL22:AL23" si="29">AA22-(SUM(AB22:AJ22))</f>
        <v>12212058.474280665</v>
      </c>
      <c r="AM22" s="30">
        <f>'واريز مرحله اول'!C25</f>
        <v>12210000</v>
      </c>
      <c r="AN22" s="49">
        <f t="shared" ref="AN22:AN23" si="30">AL22-AM22</f>
        <v>2058.4742806646973</v>
      </c>
    </row>
    <row r="23" spans="1:40" s="31" customFormat="1" ht="27" thickTop="1" thickBot="1">
      <c r="A23" s="52">
        <v>20</v>
      </c>
      <c r="B23" s="53" t="s">
        <v>119</v>
      </c>
      <c r="C23" s="53" t="s">
        <v>118</v>
      </c>
      <c r="D23" s="53" t="s">
        <v>1</v>
      </c>
      <c r="E23" s="53" t="str">
        <f t="shared" si="25"/>
        <v>محرم جعفري</v>
      </c>
      <c r="F23" s="35">
        <v>31</v>
      </c>
      <c r="G23" s="34">
        <v>67.8</v>
      </c>
      <c r="H23" s="34"/>
      <c r="I23" s="34"/>
      <c r="J23" s="34">
        <v>0.8</v>
      </c>
      <c r="K23" s="35"/>
      <c r="L23" s="35"/>
      <c r="M23" s="35"/>
      <c r="N23" s="49">
        <v>237475</v>
      </c>
      <c r="O23" s="49">
        <f t="shared" si="10"/>
        <v>7361725</v>
      </c>
      <c r="P23" s="49">
        <f t="shared" si="26"/>
        <v>200000</v>
      </c>
      <c r="Q23" s="49">
        <f t="shared" si="27"/>
        <v>1100000</v>
      </c>
      <c r="R23" s="49">
        <f t="shared" si="19"/>
        <v>0</v>
      </c>
      <c r="S23" s="49">
        <f t="shared" si="28"/>
        <v>0</v>
      </c>
      <c r="T23" s="49"/>
      <c r="U23" s="49">
        <f t="shared" si="4"/>
        <v>3075187.8581173257</v>
      </c>
      <c r="V23" s="30"/>
      <c r="W23" s="30"/>
      <c r="X23" s="30"/>
      <c r="Y23" s="29"/>
      <c r="Z23" s="29"/>
      <c r="AA23" s="49">
        <f t="shared" si="5"/>
        <v>11736912.858117325</v>
      </c>
      <c r="AB23" s="30"/>
      <c r="AC23" s="30"/>
      <c r="AD23" s="49">
        <f>(N23/7.33)*J23</f>
        <v>25918.144611186905</v>
      </c>
      <c r="AE23" s="30">
        <v>700000</v>
      </c>
      <c r="AF23" s="49"/>
      <c r="AG23" s="49"/>
      <c r="AH23" s="49">
        <f t="shared" si="14"/>
        <v>23691.285811732523</v>
      </c>
      <c r="AI23" s="49">
        <f t="shared" si="18"/>
        <v>0</v>
      </c>
      <c r="AJ23" s="30"/>
      <c r="AK23" s="30"/>
      <c r="AL23" s="49">
        <f t="shared" si="29"/>
        <v>10987303.427694406</v>
      </c>
      <c r="AM23" s="30">
        <f>'واريز مرحله اول'!C26</f>
        <v>10987000</v>
      </c>
      <c r="AN23" s="49">
        <f t="shared" si="30"/>
        <v>303.42769440636039</v>
      </c>
    </row>
    <row r="24" spans="1:40" s="31" customFormat="1" ht="27" thickTop="1" thickBot="1">
      <c r="A24" s="55">
        <v>21</v>
      </c>
      <c r="B24" s="54" t="s">
        <v>119</v>
      </c>
      <c r="C24" s="54" t="s">
        <v>118</v>
      </c>
      <c r="D24" s="54" t="s">
        <v>1</v>
      </c>
      <c r="E24" s="54" t="s">
        <v>123</v>
      </c>
      <c r="F24" s="39">
        <v>31</v>
      </c>
      <c r="G24" s="40"/>
      <c r="H24" s="40"/>
      <c r="I24" s="40"/>
      <c r="J24" s="40"/>
      <c r="K24" s="39"/>
      <c r="L24" s="39"/>
      <c r="M24" s="39"/>
      <c r="N24" s="50">
        <v>237475</v>
      </c>
      <c r="O24" s="50">
        <f t="shared" ref="O24" si="31">F24*N24</f>
        <v>7361725</v>
      </c>
      <c r="P24" s="50">
        <f t="shared" ref="P24" si="32">(200000/31)*F24</f>
        <v>200000</v>
      </c>
      <c r="Q24" s="50">
        <f t="shared" ref="Q24" si="33">(1100000/31)*F24</f>
        <v>1100000</v>
      </c>
      <c r="R24" s="50">
        <f t="shared" ref="R24" si="34">(((N24*3)*M24)/31)*F24</f>
        <v>0</v>
      </c>
      <c r="S24" s="50">
        <f t="shared" ref="S24" si="35">2*N24*K24</f>
        <v>0</v>
      </c>
      <c r="T24" s="50"/>
      <c r="U24" s="50">
        <f t="shared" ref="U24" si="36">N24/7.33*G24*1.4</f>
        <v>0</v>
      </c>
      <c r="V24" s="42"/>
      <c r="W24" s="42"/>
      <c r="X24" s="42"/>
      <c r="Y24" s="41"/>
      <c r="Z24" s="41"/>
      <c r="AA24" s="50">
        <f t="shared" ref="AA24" si="37">(SUM(P24:X24))+(N24*F24)+(SUM(Y24:Z24))</f>
        <v>8661725</v>
      </c>
      <c r="AB24" s="42"/>
      <c r="AC24" s="42"/>
      <c r="AD24" s="50">
        <f>(N24/7.33)*J24</f>
        <v>0</v>
      </c>
      <c r="AE24" s="42"/>
      <c r="AF24" s="50"/>
      <c r="AG24" s="50"/>
      <c r="AH24" s="49">
        <f t="shared" si="14"/>
        <v>0</v>
      </c>
      <c r="AI24" s="50">
        <v>661725</v>
      </c>
      <c r="AJ24" s="42"/>
      <c r="AK24" s="42"/>
      <c r="AL24" s="50">
        <f t="shared" ref="AL24" si="38">AA24-(SUM(AB24:AJ24))</f>
        <v>8000000</v>
      </c>
      <c r="AM24" s="30">
        <f>'واريز مرحله اول'!C27</f>
        <v>8000000</v>
      </c>
      <c r="AN24" s="50">
        <f t="shared" ref="AN24" si="39">AL24-AM24</f>
        <v>0</v>
      </c>
    </row>
    <row r="25" spans="1:40" s="43" customFormat="1" ht="27" thickTop="1" thickBot="1">
      <c r="A25" s="95" t="s">
        <v>0</v>
      </c>
      <c r="B25" s="95"/>
      <c r="C25" s="95"/>
      <c r="D25" s="95"/>
      <c r="F25" s="44">
        <f>SUBTOTAL(9,F4:F24)</f>
        <v>651</v>
      </c>
      <c r="G25" s="44">
        <f t="shared" ref="G25:AN25" si="40">SUBTOTAL(9,G4:G24)</f>
        <v>548.6</v>
      </c>
      <c r="H25" s="44">
        <f t="shared" si="40"/>
        <v>0</v>
      </c>
      <c r="I25" s="44">
        <f t="shared" si="40"/>
        <v>0</v>
      </c>
      <c r="J25" s="44">
        <f t="shared" si="40"/>
        <v>9.4</v>
      </c>
      <c r="K25" s="44">
        <f t="shared" si="40"/>
        <v>0</v>
      </c>
      <c r="L25" s="44">
        <f t="shared" si="40"/>
        <v>1825</v>
      </c>
      <c r="M25" s="44">
        <f t="shared" si="40"/>
        <v>9</v>
      </c>
      <c r="N25" s="44">
        <f t="shared" si="40"/>
        <v>5134500</v>
      </c>
      <c r="O25" s="44">
        <f t="shared" si="40"/>
        <v>137084325</v>
      </c>
      <c r="P25" s="44">
        <f t="shared" si="40"/>
        <v>4200000</v>
      </c>
      <c r="Q25" s="44">
        <f t="shared" si="40"/>
        <v>23100000</v>
      </c>
      <c r="R25" s="44">
        <f t="shared" si="40"/>
        <v>6411825</v>
      </c>
      <c r="S25" s="44">
        <f t="shared" si="40"/>
        <v>0</v>
      </c>
      <c r="T25" s="44">
        <f t="shared" si="40"/>
        <v>120308468</v>
      </c>
      <c r="U25" s="44">
        <f t="shared" si="40"/>
        <v>26376078.308321964</v>
      </c>
      <c r="V25" s="44">
        <f t="shared" si="40"/>
        <v>0</v>
      </c>
      <c r="W25" s="44">
        <f t="shared" si="40"/>
        <v>0</v>
      </c>
      <c r="X25" s="44">
        <f t="shared" si="40"/>
        <v>18494500</v>
      </c>
      <c r="Y25" s="44">
        <f t="shared" si="40"/>
        <v>0</v>
      </c>
      <c r="Z25" s="44">
        <f t="shared" si="40"/>
        <v>0</v>
      </c>
      <c r="AA25" s="44">
        <f t="shared" si="40"/>
        <v>358666692.05832195</v>
      </c>
      <c r="AB25" s="44">
        <f t="shared" si="40"/>
        <v>0</v>
      </c>
      <c r="AC25" s="44">
        <f t="shared" si="40"/>
        <v>0</v>
      </c>
      <c r="AD25" s="44">
        <f t="shared" si="40"/>
        <v>314601.29604365624</v>
      </c>
      <c r="AE25" s="44">
        <f t="shared" si="40"/>
        <v>56001720</v>
      </c>
      <c r="AF25" s="44">
        <f t="shared" si="40"/>
        <v>11233902.75</v>
      </c>
      <c r="AG25" s="44">
        <f t="shared" si="40"/>
        <v>0</v>
      </c>
      <c r="AH25" s="44">
        <f t="shared" si="40"/>
        <v>1486533.5777626196</v>
      </c>
      <c r="AI25" s="44">
        <f t="shared" si="40"/>
        <v>4738277.0113636367</v>
      </c>
      <c r="AJ25" s="44">
        <f t="shared" si="40"/>
        <v>3000000</v>
      </c>
      <c r="AK25" s="44">
        <f t="shared" si="40"/>
        <v>16000000</v>
      </c>
      <c r="AL25" s="44">
        <f t="shared" si="40"/>
        <v>281891657.42315203</v>
      </c>
      <c r="AM25" s="44">
        <f t="shared" si="40"/>
        <v>227998000</v>
      </c>
      <c r="AN25" s="44">
        <f t="shared" si="40"/>
        <v>53893657.423152059</v>
      </c>
    </row>
  </sheetData>
  <autoFilter ref="A3:AN24"/>
  <mergeCells count="6">
    <mergeCell ref="AN2:AN3"/>
    <mergeCell ref="A25:D25"/>
    <mergeCell ref="A2:M2"/>
    <mergeCell ref="N2:AA2"/>
    <mergeCell ref="AB2:AK2"/>
    <mergeCell ref="AM2:AM3"/>
  </mergeCells>
  <pageMargins left="0.7" right="0.7" top="0.75" bottom="0.75" header="0.3" footer="0.3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382"/>
  <sheetViews>
    <sheetView view="pageBreakPreview" topLeftCell="A3" zoomScale="115" zoomScaleSheetLayoutView="115" workbookViewId="0">
      <selection activeCell="A7" sqref="A7:A28"/>
    </sheetView>
  </sheetViews>
  <sheetFormatPr defaultColWidth="12.28515625" defaultRowHeight="29.25" customHeight="1"/>
  <cols>
    <col min="1" max="1" width="10.28515625" style="2" customWidth="1"/>
    <col min="2" max="2" width="14.28515625" bestFit="1" customWidth="1"/>
    <col min="3" max="3" width="12.42578125" customWidth="1"/>
    <col min="4" max="4" width="12.42578125" bestFit="1" customWidth="1"/>
    <col min="5" max="5" width="13.28515625" bestFit="1" customWidth="1"/>
    <col min="6" max="6" width="16.5703125" bestFit="1" customWidth="1"/>
    <col min="7" max="7" width="13.85546875" bestFit="1" customWidth="1"/>
    <col min="8" max="8" width="4.7109375" bestFit="1" customWidth="1"/>
    <col min="10" max="10" width="13.5703125" bestFit="1" customWidth="1"/>
  </cols>
  <sheetData>
    <row r="4" spans="1:8" s="1" customFormat="1" ht="57" customHeight="1">
      <c r="A4" s="102" t="s">
        <v>113</v>
      </c>
      <c r="B4" s="102"/>
      <c r="C4" s="102"/>
      <c r="D4" s="102"/>
      <c r="E4" s="102"/>
      <c r="F4" s="102"/>
      <c r="G4" s="102"/>
      <c r="H4" s="102"/>
    </row>
    <row r="5" spans="1:8" ht="12" customHeight="1" thickBot="1"/>
    <row r="6" spans="1:8" ht="27" thickBot="1">
      <c r="A6" s="3" t="s">
        <v>80</v>
      </c>
      <c r="B6" s="4" t="s">
        <v>81</v>
      </c>
      <c r="C6" s="4" t="s">
        <v>82</v>
      </c>
      <c r="D6" s="4" t="s">
        <v>83</v>
      </c>
      <c r="E6" s="5" t="s">
        <v>84</v>
      </c>
      <c r="F6" s="5" t="s">
        <v>85</v>
      </c>
      <c r="G6" s="5" t="s">
        <v>86</v>
      </c>
      <c r="H6" s="6" t="s">
        <v>87</v>
      </c>
    </row>
    <row r="7" spans="1:8" ht="29.25" customHeight="1" thickBot="1">
      <c r="A7" s="7"/>
      <c r="B7" s="8">
        <f>E7-C7</f>
        <v>2198280.25</v>
      </c>
      <c r="C7" s="9">
        <v>25000000</v>
      </c>
      <c r="D7" s="8"/>
      <c r="E7" s="8">
        <f>SUMIF(مرداد!E4:E24,G7,مرداد!AL4:AL24)</f>
        <v>27198280.25</v>
      </c>
      <c r="F7" s="10"/>
      <c r="G7" s="11" t="str">
        <f>مرداد!E4</f>
        <v>سعید  فروزانفر</v>
      </c>
      <c r="H7" s="12">
        <v>1</v>
      </c>
    </row>
    <row r="8" spans="1:8" ht="29.25" customHeight="1" thickBot="1">
      <c r="A8" s="13"/>
      <c r="B8" s="14">
        <f t="shared" ref="B8:B9" si="0">E8-C8</f>
        <v>0.25</v>
      </c>
      <c r="C8" s="15">
        <v>40000000</v>
      </c>
      <c r="D8" s="14"/>
      <c r="E8" s="8">
        <f>SUMIF(مرداد!E5:E25,G8,مرداد!AL5:AL25)</f>
        <v>40000000.25</v>
      </c>
      <c r="F8" s="16"/>
      <c r="G8" s="17" t="str">
        <f>مرداد!E5</f>
        <v>وحید  فروزانفر</v>
      </c>
      <c r="H8" s="18">
        <v>2</v>
      </c>
    </row>
    <row r="9" spans="1:8" ht="29.25" customHeight="1" thickBot="1">
      <c r="A9" s="13"/>
      <c r="B9" s="14">
        <f t="shared" si="0"/>
        <v>40000000.25</v>
      </c>
      <c r="C9" s="15"/>
      <c r="D9" s="14"/>
      <c r="E9" s="8">
        <f>SUMIF(مرداد!E6:E26,G9,مرداد!AL6:AL26)</f>
        <v>40000000.25</v>
      </c>
      <c r="F9" s="16"/>
      <c r="G9" s="17" t="str">
        <f>مرداد!E6</f>
        <v>رضا  فروزانفر</v>
      </c>
      <c r="H9" s="12">
        <v>3</v>
      </c>
    </row>
    <row r="10" spans="1:8" ht="29.25" customHeight="1" thickBot="1">
      <c r="A10" s="13"/>
      <c r="B10" s="14">
        <f>E10-C10</f>
        <v>6759.799578320235</v>
      </c>
      <c r="C10" s="15">
        <v>1200000</v>
      </c>
      <c r="D10" s="14"/>
      <c r="E10" s="8">
        <f>SUMIF(مرداد!E7:E27,G10,مرداد!AL7:AL27)</f>
        <v>1206759.7995783202</v>
      </c>
      <c r="F10" s="16"/>
      <c r="G10" s="17" t="str">
        <f>مرداد!E7</f>
        <v>روح الله  نوروزیان</v>
      </c>
      <c r="H10" s="12">
        <v>4</v>
      </c>
    </row>
    <row r="11" spans="1:8" ht="29.25" customHeight="1" thickBot="1">
      <c r="A11" s="13"/>
      <c r="B11" s="14">
        <f>E11-C11</f>
        <v>-987291.5679337699</v>
      </c>
      <c r="C11" s="15">
        <v>13230000</v>
      </c>
      <c r="D11" s="14"/>
      <c r="E11" s="8">
        <f>SUMIF(مرداد!E8:E28,G11,مرداد!AL8:AL28)</f>
        <v>12242708.43206623</v>
      </c>
      <c r="F11" s="16"/>
      <c r="G11" s="17" t="str">
        <f>مرداد!E8</f>
        <v>مهدی  شمشیری</v>
      </c>
      <c r="H11" s="18">
        <v>5</v>
      </c>
    </row>
    <row r="12" spans="1:8" ht="29.25" customHeight="1" thickBot="1">
      <c r="A12" s="13"/>
      <c r="B12" s="14">
        <f t="shared" ref="B12" si="1">E12-C12</f>
        <v>1626.4437244199216</v>
      </c>
      <c r="C12" s="15">
        <v>12750000</v>
      </c>
      <c r="D12" s="14"/>
      <c r="E12" s="8">
        <f>SUMIF(مرداد!E9:E29,G12,مرداد!AL9:AL29)</f>
        <v>12751626.44372442</v>
      </c>
      <c r="F12" s="16"/>
      <c r="G12" s="17" t="str">
        <f>مرداد!E9</f>
        <v>محسن شيشه چي</v>
      </c>
      <c r="H12" s="12">
        <v>6</v>
      </c>
    </row>
    <row r="13" spans="1:8" ht="29.25" customHeight="1" thickBot="1">
      <c r="A13" s="13"/>
      <c r="B13" s="14">
        <f t="shared" ref="B13:B14" si="2">E13-C13</f>
        <v>0.25</v>
      </c>
      <c r="C13" s="15">
        <v>15000000</v>
      </c>
      <c r="D13" s="14"/>
      <c r="E13" s="8">
        <f>SUMIF(مرداد!E10:E30,G13,مرداد!AL10:AL30)</f>
        <v>15000000.25</v>
      </c>
      <c r="F13" s="16"/>
      <c r="G13" s="17" t="str">
        <f>مرداد!E10</f>
        <v>مجتبي منبتي</v>
      </c>
      <c r="H13" s="12">
        <v>7</v>
      </c>
    </row>
    <row r="14" spans="1:8" ht="29.25" customHeight="1" thickBot="1">
      <c r="A14" s="13"/>
      <c r="B14" s="14">
        <f t="shared" si="2"/>
        <v>0.25</v>
      </c>
      <c r="C14" s="15">
        <v>6500000</v>
      </c>
      <c r="D14" s="14"/>
      <c r="E14" s="8">
        <f>SUMIF(مرداد!E11:E31,G14,مرداد!AL11:AL31)</f>
        <v>6500000.25</v>
      </c>
      <c r="F14" s="16"/>
      <c r="G14" s="17" t="str">
        <f>مرداد!E11</f>
        <v xml:space="preserve">مريم محسني </v>
      </c>
      <c r="H14" s="18">
        <v>8</v>
      </c>
    </row>
    <row r="15" spans="1:8" ht="29.25" customHeight="1" thickBot="1">
      <c r="A15" s="13"/>
      <c r="B15" s="14">
        <f t="shared" ref="B15:B16" si="3">E15-C15</f>
        <v>514.9010914042592</v>
      </c>
      <c r="C15" s="15">
        <f>6772000+8475000</f>
        <v>15247000</v>
      </c>
      <c r="D15" s="14"/>
      <c r="E15" s="8">
        <f>SUMIF(مرداد!E12:E32,G15,مرداد!AL12:AL32)</f>
        <v>15247514.901091404</v>
      </c>
      <c r="F15" s="16"/>
      <c r="G15" s="17" t="str">
        <f>مرداد!E12</f>
        <v xml:space="preserve">علي غلام زاده </v>
      </c>
      <c r="H15" s="12">
        <v>9</v>
      </c>
    </row>
    <row r="16" spans="1:8" ht="29.25" customHeight="1" thickBot="1">
      <c r="A16" s="13"/>
      <c r="B16" s="14">
        <f t="shared" si="3"/>
        <v>177.64405308291316</v>
      </c>
      <c r="C16" s="15">
        <v>11255000</v>
      </c>
      <c r="D16" s="14"/>
      <c r="E16" s="8">
        <f>SUMIF(مرداد!E13:E33,G16,مرداد!AL13:AL33)</f>
        <v>11255177.644053083</v>
      </c>
      <c r="F16" s="16"/>
      <c r="G16" s="17" t="str">
        <f>مرداد!E13</f>
        <v>سيد محسن داغياني</v>
      </c>
      <c r="H16" s="12">
        <v>10</v>
      </c>
    </row>
    <row r="17" spans="1:10" ht="29.25" customHeight="1" thickBot="1">
      <c r="A17" s="13"/>
      <c r="B17" s="14">
        <f t="shared" ref="B17:B18" si="4">E17-C17</f>
        <v>0.25</v>
      </c>
      <c r="C17" s="15">
        <v>8500000</v>
      </c>
      <c r="D17" s="14"/>
      <c r="E17" s="8">
        <f>SUMIF(مرداد!E14:E34,G17,مرداد!AL14:AL34)</f>
        <v>8500000.25</v>
      </c>
      <c r="F17" s="16"/>
      <c r="G17" s="17" t="str">
        <f>مرداد!E14</f>
        <v xml:space="preserve">فرشته ابراهيم زاده </v>
      </c>
      <c r="H17" s="18">
        <v>11</v>
      </c>
    </row>
    <row r="18" spans="1:10" ht="29.25" customHeight="1" thickBot="1">
      <c r="A18" s="13"/>
      <c r="B18" s="14">
        <f t="shared" si="4"/>
        <v>0</v>
      </c>
      <c r="C18" s="15">
        <v>10000000</v>
      </c>
      <c r="D18" s="14"/>
      <c r="E18" s="8">
        <f>SUMIF(مرداد!E15:E35,G18,مرداد!AL15:AL35)</f>
        <v>10000000</v>
      </c>
      <c r="F18" s="16"/>
      <c r="G18" s="17" t="str">
        <f>مرداد!E15</f>
        <v xml:space="preserve">اميدفروزانفر </v>
      </c>
      <c r="H18" s="12">
        <v>12</v>
      </c>
    </row>
    <row r="19" spans="1:10" ht="29.25" customHeight="1" thickBot="1">
      <c r="A19" s="13"/>
      <c r="B19" s="14">
        <f t="shared" ref="B19:B24" si="5">E19-C19</f>
        <v>6838647.371356817</v>
      </c>
      <c r="C19" s="57"/>
      <c r="D19" s="14"/>
      <c r="E19" s="8">
        <f>SUMIF(مرداد!E16:E36,G19,مرداد!AL16:AL36)</f>
        <v>6838647.371356817</v>
      </c>
      <c r="F19" s="16"/>
      <c r="G19" s="17" t="str">
        <f>مرداد!E16</f>
        <v>حامد برزويي</v>
      </c>
      <c r="H19" s="12">
        <v>13</v>
      </c>
    </row>
    <row r="20" spans="1:10" ht="29.25" customHeight="1" thickBot="1">
      <c r="A20" s="13"/>
      <c r="B20" s="14">
        <f t="shared" si="5"/>
        <v>0.25</v>
      </c>
      <c r="C20" s="15">
        <v>9000000</v>
      </c>
      <c r="D20" s="14"/>
      <c r="E20" s="8">
        <f>SUMIF(مرداد!E17:E37,G20,مرداد!AL17:AL37)</f>
        <v>9000000.25</v>
      </c>
      <c r="F20" s="19"/>
      <c r="G20" s="17" t="str">
        <f>مرداد!E17</f>
        <v>حسن قرباني</v>
      </c>
      <c r="H20" s="18">
        <v>14</v>
      </c>
    </row>
    <row r="21" spans="1:10" ht="29.25" customHeight="1" thickBot="1">
      <c r="A21" s="13"/>
      <c r="B21" s="14">
        <f t="shared" si="5"/>
        <v>5891261.8591405191</v>
      </c>
      <c r="C21" s="57"/>
      <c r="D21" s="14"/>
      <c r="E21" s="8">
        <f>SUMIF(مرداد!E18:E38,G21,مرداد!AL18:AL38)</f>
        <v>5891261.8591405191</v>
      </c>
      <c r="F21" s="16"/>
      <c r="G21" s="17" t="str">
        <f>مرداد!E18</f>
        <v>جلال درگاهي</v>
      </c>
      <c r="H21" s="12">
        <v>15</v>
      </c>
    </row>
    <row r="22" spans="1:10" ht="29.25" customHeight="1" thickBot="1">
      <c r="A22" s="7"/>
      <c r="B22" s="14">
        <f t="shared" si="5"/>
        <v>254.25</v>
      </c>
      <c r="C22" s="15">
        <v>7480000</v>
      </c>
      <c r="D22" s="14"/>
      <c r="E22" s="8">
        <f>SUMIF(مرداد!E19:E39,G22,مرداد!AL19:AL39)</f>
        <v>7480254.25</v>
      </c>
      <c r="F22" s="10"/>
      <c r="G22" s="17" t="str">
        <f>مرداد!E19</f>
        <v>داود قوامي كيا</v>
      </c>
      <c r="H22" s="12">
        <v>16</v>
      </c>
    </row>
    <row r="23" spans="1:10" ht="29.25" customHeight="1" thickBot="1">
      <c r="A23" s="13"/>
      <c r="B23" s="14">
        <f t="shared" si="5"/>
        <v>540.20839017629623</v>
      </c>
      <c r="C23" s="15">
        <f>1539000+11710000</f>
        <v>13249000</v>
      </c>
      <c r="D23" s="14"/>
      <c r="E23" s="8">
        <f>SUMIF(مرداد!E20:E40,G23,مرداد!AL20:AL40)</f>
        <v>13249540.208390176</v>
      </c>
      <c r="F23" s="16"/>
      <c r="G23" s="17" t="str">
        <f>مرداد!E20</f>
        <v>مرتضي اميري نژاد</v>
      </c>
      <c r="H23" s="18">
        <v>17</v>
      </c>
    </row>
    <row r="24" spans="1:10" ht="29.25" customHeight="1" thickBot="1">
      <c r="A24" s="13"/>
      <c r="B24" s="14">
        <f t="shared" si="5"/>
        <v>-59477.13822398521</v>
      </c>
      <c r="C24" s="15">
        <v>8390000</v>
      </c>
      <c r="D24" s="14"/>
      <c r="E24" s="8">
        <f>SUMIF(مرداد!E21:E41,G24,مرداد!AL21:AL41)</f>
        <v>8330522.8617760148</v>
      </c>
      <c r="F24" s="16"/>
      <c r="G24" s="17" t="str">
        <f>مرداد!E21</f>
        <v>مهراب صالحي</v>
      </c>
      <c r="H24" s="12">
        <v>18</v>
      </c>
    </row>
    <row r="25" spans="1:10" ht="29.25" customHeight="1" thickBot="1">
      <c r="A25" s="13"/>
      <c r="B25" s="14">
        <f t="shared" ref="B25:B28" si="6">E25-C25</f>
        <v>2058.4742806646973</v>
      </c>
      <c r="C25" s="15">
        <v>12210000</v>
      </c>
      <c r="D25" s="14"/>
      <c r="E25" s="8">
        <f>SUMIF(مرداد!E22:E42,G25,مرداد!AL22:AL42)</f>
        <v>12212058.474280665</v>
      </c>
      <c r="F25" s="10"/>
      <c r="G25" s="17" t="str">
        <f>مرداد!E22</f>
        <v>محسن عباسي</v>
      </c>
      <c r="H25" s="12">
        <v>19</v>
      </c>
    </row>
    <row r="26" spans="1:10" ht="29.25" customHeight="1" thickBot="1">
      <c r="A26" s="13"/>
      <c r="B26" s="14">
        <f t="shared" si="6"/>
        <v>303.42769440636039</v>
      </c>
      <c r="C26" s="15">
        <v>10987000</v>
      </c>
      <c r="D26" s="14"/>
      <c r="E26" s="8">
        <f>SUMIF(مرداد!E23:E43,G26,مرداد!AL23:AL43)</f>
        <v>10987303.427694406</v>
      </c>
      <c r="F26" s="10"/>
      <c r="G26" s="17" t="str">
        <f>مرداد!E23</f>
        <v>محرم جعفري</v>
      </c>
      <c r="H26" s="18">
        <v>20</v>
      </c>
    </row>
    <row r="27" spans="1:10" ht="29.25" customHeight="1" thickBot="1">
      <c r="A27" s="13"/>
      <c r="B27" s="14">
        <f t="shared" si="6"/>
        <v>0</v>
      </c>
      <c r="C27" s="15">
        <v>8000000</v>
      </c>
      <c r="D27" s="14"/>
      <c r="E27" s="8">
        <f>SUMIF(مرداد!E24:E44,G27,مرداد!AL24:AL44)</f>
        <v>8000000</v>
      </c>
      <c r="F27" s="10"/>
      <c r="G27" s="17" t="str">
        <f>مرداد!E24</f>
        <v>اميرحسين فروزانفر</v>
      </c>
      <c r="H27" s="12"/>
    </row>
    <row r="28" spans="1:10" ht="29.25" customHeight="1" thickBot="1">
      <c r="A28" s="13"/>
      <c r="B28" s="14">
        <f t="shared" si="6"/>
        <v>0</v>
      </c>
      <c r="C28" s="15"/>
      <c r="D28" s="14"/>
      <c r="E28" s="8">
        <f>SUMIF(مرداد!E25:E45,G28,مرداد!AL25:AL45)</f>
        <v>0</v>
      </c>
      <c r="F28" s="10"/>
      <c r="G28" s="11" t="s">
        <v>95</v>
      </c>
      <c r="H28" s="12">
        <v>21</v>
      </c>
    </row>
    <row r="29" spans="1:10" ht="29.25" customHeight="1" thickBot="1">
      <c r="A29" s="20"/>
      <c r="B29" s="21"/>
      <c r="C29" s="21">
        <f>SUBTOTAL(9,C7:C28)</f>
        <v>227998000</v>
      </c>
      <c r="D29" s="21">
        <f>SUBTOTAL(9,D7:D28)</f>
        <v>0</v>
      </c>
      <c r="E29" s="21">
        <f>SUBTOTAL(9,E7:E28)</f>
        <v>281891657.42315203</v>
      </c>
      <c r="F29" s="103" t="s">
        <v>98</v>
      </c>
      <c r="G29" s="103"/>
      <c r="H29" s="104"/>
    </row>
    <row r="30" spans="1:10" ht="29.25" hidden="1" customHeight="1"/>
    <row r="31" spans="1:10" ht="41.25" customHeight="1">
      <c r="C31" s="22"/>
      <c r="J31" s="23">
        <f>SUM(C29:D29)</f>
        <v>227998000</v>
      </c>
    </row>
    <row r="32" spans="1:10" s="25" customFormat="1" ht="27">
      <c r="A32" s="24"/>
      <c r="B32" s="25" t="s">
        <v>99</v>
      </c>
      <c r="C32" s="22"/>
      <c r="F32" s="25" t="s">
        <v>100</v>
      </c>
      <c r="J32" s="23">
        <v>166331467</v>
      </c>
    </row>
    <row r="33" spans="3:10" ht="29.25" customHeight="1">
      <c r="C33" s="22"/>
      <c r="J33" s="23">
        <v>4654407</v>
      </c>
    </row>
    <row r="380" spans="5:7" ht="29.25" customHeight="1">
      <c r="E380" s="26"/>
      <c r="F380" s="26"/>
      <c r="G380" s="26"/>
    </row>
    <row r="381" spans="5:7" ht="29.25" customHeight="1">
      <c r="E381" s="26"/>
      <c r="F381" s="26"/>
      <c r="G381" s="26"/>
    </row>
    <row r="382" spans="5:7" ht="29.25" customHeight="1">
      <c r="E382" s="26"/>
      <c r="F382" s="26"/>
      <c r="G382" s="26"/>
    </row>
  </sheetData>
  <autoFilter ref="A6:H28"/>
  <mergeCells count="2">
    <mergeCell ref="A4:H4"/>
    <mergeCell ref="F29:H29"/>
  </mergeCells>
  <printOptions horizontalCentered="1"/>
  <pageMargins left="0.25" right="0.25" top="0.75" bottom="0.75" header="0.3" footer="0.3"/>
  <pageSetup paperSize="9" scale="76" orientation="portrait" r:id="rId1"/>
  <colBreaks count="1" manualBreakCount="1">
    <brk id="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8"/>
  <sheetViews>
    <sheetView tabSelected="1" zoomScale="85" zoomScaleNormal="85" workbookViewId="0">
      <selection activeCell="N8" sqref="N8"/>
    </sheetView>
  </sheetViews>
  <sheetFormatPr defaultColWidth="9.140625" defaultRowHeight="15"/>
  <cols>
    <col min="1" max="1" width="1.42578125" customWidth="1"/>
    <col min="2" max="3" width="10.7109375" customWidth="1"/>
    <col min="4" max="4" width="16.5703125" customWidth="1"/>
    <col min="5" max="5" width="10.5703125" customWidth="1"/>
    <col min="6" max="6" width="17.85546875" customWidth="1"/>
    <col min="7" max="7" width="12" customWidth="1"/>
    <col min="8" max="8" width="16.7109375" customWidth="1"/>
    <col min="9" max="9" width="17.85546875" customWidth="1"/>
    <col min="10" max="10" width="17.140625" customWidth="1"/>
    <col min="11" max="11" width="9.140625" hidden="1" customWidth="1"/>
    <col min="12" max="12" width="10.85546875" hidden="1" customWidth="1"/>
  </cols>
  <sheetData>
    <row r="1" spans="2:16" ht="15.75" thickBot="1"/>
    <row r="2" spans="2:16" ht="22.5">
      <c r="B2" s="65"/>
      <c r="C2" s="86" t="s">
        <v>126</v>
      </c>
      <c r="D2" s="105" t="s">
        <v>127</v>
      </c>
      <c r="E2" s="105"/>
      <c r="F2" s="105"/>
      <c r="G2" s="105"/>
      <c r="H2" s="106"/>
      <c r="I2" s="72" t="str">
        <f>مرداد!E4</f>
        <v>سعید  فروزانفر</v>
      </c>
      <c r="J2" s="66" t="s">
        <v>141</v>
      </c>
      <c r="O2" s="121" t="s">
        <v>124</v>
      </c>
    </row>
    <row r="3" spans="2:16" ht="20.25" thickBot="1">
      <c r="B3" s="85" t="s">
        <v>128</v>
      </c>
      <c r="C3" s="87" t="s">
        <v>129</v>
      </c>
      <c r="D3" s="107"/>
      <c r="E3" s="107"/>
      <c r="F3" s="107"/>
      <c r="G3" s="107"/>
      <c r="H3" s="108"/>
      <c r="I3" s="88"/>
      <c r="J3" s="75" t="s">
        <v>130</v>
      </c>
      <c r="O3" s="122" t="s">
        <v>94</v>
      </c>
    </row>
    <row r="4" spans="2:16" ht="21.75" thickBot="1">
      <c r="B4" s="109" t="s">
        <v>131</v>
      </c>
      <c r="C4" s="110"/>
      <c r="D4" s="111"/>
      <c r="E4" s="84">
        <f>مرداد!AB4</f>
        <v>0</v>
      </c>
      <c r="F4" s="67" t="s">
        <v>132</v>
      </c>
      <c r="G4" s="120">
        <f>IFERROR(DGET(مرداد!$E$3:$AL$24,مرداد!O7,$O$2:$O$3),0)</f>
        <v>0</v>
      </c>
      <c r="H4" s="71" t="s">
        <v>142</v>
      </c>
      <c r="I4" s="119">
        <f>IFERROR(DGET(مرداد!$E$3:$AL$24,مرداد!$F$3,$O$2:$O$3),0)</f>
        <v>31</v>
      </c>
      <c r="J4" s="67" t="s">
        <v>137</v>
      </c>
      <c r="K4" s="58"/>
      <c r="L4" s="58"/>
      <c r="M4" s="58"/>
      <c r="N4" s="58"/>
      <c r="O4" s="59"/>
      <c r="P4" s="59"/>
    </row>
    <row r="5" spans="2:16" ht="20.25" thickBot="1">
      <c r="B5" s="117">
        <f>G16</f>
        <v>1300000</v>
      </c>
      <c r="C5" s="118"/>
      <c r="D5" s="89" t="str">
        <f>H16</f>
        <v>جمع حقوق و مزايا به ریال</v>
      </c>
      <c r="E5" s="60">
        <f>مرداد!AC4</f>
        <v>0</v>
      </c>
      <c r="F5" s="81" t="s">
        <v>47</v>
      </c>
      <c r="G5" s="120">
        <f>IFERROR(DGET(مرداد!$E$3:$AL$24,مرداد!P3,$O$2:$O$3),0)</f>
        <v>200000</v>
      </c>
      <c r="H5" s="71" t="s">
        <v>143</v>
      </c>
      <c r="I5" s="119">
        <f>IFERROR(DGET(مرداد!$E$3:$AL$24,مرداد!G3,$O$2:$O$3),0)</f>
        <v>31.5</v>
      </c>
      <c r="J5" s="67" t="s">
        <v>140</v>
      </c>
      <c r="K5" s="58"/>
      <c r="L5" s="58"/>
      <c r="M5" s="58"/>
      <c r="N5" s="58"/>
      <c r="O5" s="59"/>
      <c r="P5" s="59"/>
    </row>
    <row r="6" spans="2:16" ht="20.25" thickBot="1">
      <c r="B6" s="117">
        <f>E16</f>
        <v>13408040.75</v>
      </c>
      <c r="C6" s="118"/>
      <c r="D6" s="82" t="str">
        <f>F16</f>
        <v>جمع كسورات به ریال</v>
      </c>
      <c r="E6" s="60">
        <f>مرداد!AD4</f>
        <v>0</v>
      </c>
      <c r="F6" s="67" t="s">
        <v>148</v>
      </c>
      <c r="G6" s="120">
        <f>IFERROR(DGET(مرداد!$E$3:$AL$24,مرداد!Q3,$O$2:$O$3),0)</f>
        <v>1100000</v>
      </c>
      <c r="H6" s="71" t="s">
        <v>144</v>
      </c>
      <c r="I6" s="119">
        <f>IFERROR(DGET(مرداد!$E$3:$AL$24,مرداد!J3,$O$2:$O$3),0)</f>
        <v>0.5</v>
      </c>
      <c r="J6" s="67" t="s">
        <v>139</v>
      </c>
      <c r="K6" s="62">
        <f>(G4+G6+G7+G8)-10000000</f>
        <v>-8900000</v>
      </c>
      <c r="L6" s="62">
        <f>IF(K6&lt;=0,0,K6)</f>
        <v>0</v>
      </c>
      <c r="N6" s="58"/>
      <c r="O6" s="59"/>
      <c r="P6" s="59"/>
    </row>
    <row r="7" spans="2:16" ht="20.25" thickBot="1">
      <c r="B7" s="117">
        <f>B5-B6</f>
        <v>-12108040.75</v>
      </c>
      <c r="C7" s="118"/>
      <c r="D7" s="82" t="s">
        <v>153</v>
      </c>
      <c r="E7" s="60">
        <f>مرداد!AE4</f>
        <v>12801720</v>
      </c>
      <c r="F7" s="67" t="s">
        <v>45</v>
      </c>
      <c r="G7" s="120">
        <f>IFERROR(DGET(مرداد!$E$3:$AL$24,مرداد!R7,$O$2:$O$3),0)</f>
        <v>0</v>
      </c>
      <c r="H7" s="71" t="s">
        <v>145</v>
      </c>
      <c r="I7" s="119">
        <f>IFERROR(DGET(مرداد!$E$3:$AL$24,مرداد!L3,$O$2:$O$3),0)</f>
        <v>0</v>
      </c>
      <c r="J7" s="67" t="s">
        <v>138</v>
      </c>
      <c r="K7" s="58"/>
      <c r="L7" s="62">
        <f>L6*0.1</f>
        <v>0</v>
      </c>
      <c r="M7" s="58"/>
      <c r="N7" s="58"/>
      <c r="O7" s="59"/>
      <c r="P7" s="59"/>
    </row>
    <row r="8" spans="2:16" ht="19.5">
      <c r="B8" s="117">
        <f>'واريز مرحله اول'!C7</f>
        <v>25000000</v>
      </c>
      <c r="C8" s="118"/>
      <c r="D8" s="82" t="s">
        <v>154</v>
      </c>
      <c r="E8" s="60">
        <f>مرداد!AF4</f>
        <v>606320.75</v>
      </c>
      <c r="F8" s="81" t="s">
        <v>44</v>
      </c>
      <c r="G8" s="120">
        <f>IFERROR(DGET(مرداد!$E$3:$AL$24,مرداد!U7,$O$2:$O$3),0)</f>
        <v>0</v>
      </c>
      <c r="H8" s="71" t="s">
        <v>146</v>
      </c>
      <c r="I8" s="119">
        <f>IFERROR(DGET(مرداد!$E$3:$AL$24,مرداد!M3,$O$2:$O$3),0)</f>
        <v>2</v>
      </c>
      <c r="J8" s="67" t="s">
        <v>62</v>
      </c>
      <c r="K8" s="58"/>
      <c r="L8" s="58"/>
      <c r="M8" s="58"/>
      <c r="N8" s="58"/>
      <c r="O8" s="59"/>
      <c r="P8" s="59"/>
    </row>
    <row r="9" spans="2:16" ht="3" customHeight="1">
      <c r="B9" s="68"/>
      <c r="C9" s="60"/>
      <c r="D9" s="82"/>
      <c r="E9" s="60">
        <f>I7*I10</f>
        <v>0</v>
      </c>
      <c r="F9" s="67" t="s">
        <v>46</v>
      </c>
      <c r="G9" s="120">
        <f>IFERROR(DGET(مرداد!$E$3:$AL$24,مرداد!U8,$O$2:$O$3),0)</f>
        <v>0</v>
      </c>
      <c r="H9" s="71"/>
      <c r="I9" s="74"/>
      <c r="J9" s="69"/>
      <c r="K9" s="58"/>
      <c r="L9" s="58"/>
      <c r="M9" s="58"/>
      <c r="N9" s="58"/>
      <c r="O9" s="59"/>
      <c r="P9" s="59"/>
    </row>
    <row r="10" spans="2:16" ht="19.5">
      <c r="B10" s="68"/>
      <c r="C10" s="60"/>
      <c r="D10" s="82"/>
      <c r="E10" s="60">
        <f>مرداد!AH4</f>
        <v>0</v>
      </c>
      <c r="F10" s="67" t="s">
        <v>149</v>
      </c>
      <c r="G10" s="120">
        <f>IFERROR(DGET(مرداد!$E$3:$AL$24,مرداد!T3,$O$2:$O$3),0)</f>
        <v>0</v>
      </c>
      <c r="H10" s="71" t="s">
        <v>147</v>
      </c>
      <c r="I10" s="68">
        <f>مرداد!N4</f>
        <v>237475</v>
      </c>
      <c r="J10" s="67" t="s">
        <v>133</v>
      </c>
      <c r="K10" s="63"/>
      <c r="L10" s="63"/>
      <c r="M10" s="63"/>
      <c r="N10" s="63"/>
      <c r="O10" s="59"/>
      <c r="P10" s="59"/>
    </row>
    <row r="11" spans="2:16" ht="19.5">
      <c r="B11" s="70"/>
      <c r="C11" s="64"/>
      <c r="D11" s="83"/>
      <c r="E11" s="60">
        <f>مرداد!AI4</f>
        <v>0</v>
      </c>
      <c r="F11" s="67" t="s">
        <v>150</v>
      </c>
      <c r="G11" s="60"/>
      <c r="H11" s="71"/>
      <c r="I11" s="68"/>
      <c r="J11" s="67"/>
      <c r="K11" s="63"/>
      <c r="L11" s="63"/>
      <c r="M11" s="63"/>
      <c r="N11" s="63"/>
      <c r="O11" s="59"/>
      <c r="P11" s="59"/>
    </row>
    <row r="12" spans="2:16" ht="19.5">
      <c r="B12" s="70"/>
      <c r="C12" s="64"/>
      <c r="D12" s="83"/>
      <c r="E12" s="60">
        <f>مرداد!AJ4</f>
        <v>0</v>
      </c>
      <c r="F12" s="67" t="s">
        <v>151</v>
      </c>
      <c r="G12" s="60"/>
      <c r="H12" s="71"/>
      <c r="I12" s="73"/>
      <c r="J12" s="67"/>
      <c r="K12" s="63"/>
      <c r="L12" s="63"/>
      <c r="M12" s="63"/>
      <c r="N12" s="63"/>
      <c r="O12" s="59"/>
      <c r="P12" s="59"/>
    </row>
    <row r="13" spans="2:16" ht="19.5">
      <c r="B13" s="70"/>
      <c r="C13" s="64"/>
      <c r="D13" s="83"/>
      <c r="E13" s="60"/>
      <c r="F13" s="67"/>
      <c r="G13" s="60"/>
      <c r="H13" s="61"/>
      <c r="I13" s="113"/>
      <c r="J13" s="114"/>
      <c r="K13" s="58"/>
      <c r="L13" s="58"/>
      <c r="M13" s="58"/>
      <c r="N13" s="58"/>
      <c r="O13" s="59"/>
      <c r="P13" s="59"/>
    </row>
    <row r="14" spans="2:16" ht="19.5">
      <c r="B14" s="70"/>
      <c r="C14" s="64"/>
      <c r="D14" s="83"/>
      <c r="E14" s="64"/>
      <c r="F14" s="67"/>
      <c r="G14" s="60"/>
      <c r="H14" s="61"/>
      <c r="I14" s="113"/>
      <c r="J14" s="114"/>
      <c r="K14" s="58"/>
      <c r="L14" s="58"/>
      <c r="M14" s="58"/>
      <c r="N14" s="58"/>
      <c r="O14" s="59"/>
      <c r="P14" s="59"/>
    </row>
    <row r="15" spans="2:16" ht="20.25" thickBot="1">
      <c r="B15" s="90"/>
      <c r="C15" s="91"/>
      <c r="D15" s="92"/>
      <c r="E15" s="64">
        <v>0</v>
      </c>
      <c r="F15" s="67" t="s">
        <v>152</v>
      </c>
      <c r="G15" s="79">
        <f>مرداد!X4</f>
        <v>0</v>
      </c>
      <c r="H15" s="71" t="s">
        <v>52</v>
      </c>
      <c r="I15" s="113"/>
      <c r="J15" s="114"/>
      <c r="K15" s="58"/>
      <c r="L15" s="58"/>
      <c r="M15" s="58"/>
      <c r="N15" s="58"/>
      <c r="O15" s="59"/>
      <c r="P15" s="59"/>
    </row>
    <row r="16" spans="2:16" ht="20.25" thickBot="1">
      <c r="B16" s="78">
        <f>B7-B8</f>
        <v>-37108040.75</v>
      </c>
      <c r="C16" s="112" t="s">
        <v>134</v>
      </c>
      <c r="D16" s="112"/>
      <c r="E16" s="77">
        <f>SUM(E4:E15)</f>
        <v>13408040.75</v>
      </c>
      <c r="F16" s="76" t="s">
        <v>135</v>
      </c>
      <c r="G16" s="80">
        <f>SUM(G4:G15)</f>
        <v>1300000</v>
      </c>
      <c r="H16" s="76" t="s">
        <v>136</v>
      </c>
      <c r="I16" s="115"/>
      <c r="J16" s="116"/>
      <c r="K16" s="58"/>
      <c r="L16" s="62"/>
      <c r="M16" s="58"/>
      <c r="N16" s="58"/>
      <c r="O16" s="59"/>
      <c r="P16" s="59"/>
    </row>
    <row r="17" spans="9:9" ht="22.5" customHeight="1"/>
    <row r="18" spans="9:9" ht="34.5" customHeight="1">
      <c r="I18">
        <f>DGET(مرداد!E3:AL24,2,O2:O3)</f>
        <v>31</v>
      </c>
    </row>
  </sheetData>
  <dataConsolidate/>
  <mergeCells count="8">
    <mergeCell ref="D2:H3"/>
    <mergeCell ref="B4:D4"/>
    <mergeCell ref="C16:D16"/>
    <mergeCell ref="I13:J16"/>
    <mergeCell ref="B5:C5"/>
    <mergeCell ref="B6:C6"/>
    <mergeCell ref="B7:C7"/>
    <mergeCell ref="B8:C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مرداد!$E$4:$E$24</xm:f>
          </x14:formula1>
          <xm:sqref>O3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مرداد</vt:lpstr>
      <vt:lpstr>واريز مرحله اول</vt:lpstr>
      <vt:lpstr>Sheet1</vt:lpstr>
      <vt:lpstr>مرداد!Print_Area</vt:lpstr>
      <vt:lpstr>'واريز مرحله اول'!Print_Area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2015-09-02T05:20:33Z</dcterms:modified>
</cp:coreProperties>
</file>